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R:\1_RAPORTY\1_RAPORTY OKRESOWE\2022\4Q2022\spreadsheet\"/>
    </mc:Choice>
  </mc:AlternateContent>
  <xr:revisionPtr revIDLastSave="0" documentId="13_ncr:1_{C3C2B9FC-42CE-4ED2-A9D3-7C8375B30818}" xr6:coauthVersionLast="47" xr6:coauthVersionMax="47" xr10:uidLastSave="{00000000-0000-0000-0000-000000000000}"/>
  <bookViews>
    <workbookView xWindow="-108" yWindow="-108" windowWidth="23256" windowHeight="12456" tabRatio="922" xr2:uid="{00000000-000D-0000-FFFF-FFFF00000000}"/>
  </bookViews>
  <sheets>
    <sheet name="Informacje podstawowe" sheetId="7" r:id="rId1"/>
    <sheet name="R_wyników_Q" sheetId="8" r:id="rId2"/>
    <sheet name="R_wyników_FY" sheetId="9" r:id="rId3"/>
    <sheet name="Bilans" sheetId="10" r:id="rId4"/>
    <sheet name="Cashflow_Q" sheetId="11" r:id="rId5"/>
    <sheet name="Cashflow_FY" sheetId="12" r:id="rId6"/>
    <sheet name="Inwestycje" sheetId="14" r:id="rId7"/>
    <sheet name="HR" sheetId="1" r:id="rId8"/>
    <sheet name="Akcjonariat" sheetId="1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2" i="10" l="1"/>
  <c r="W4" i="10"/>
  <c r="Z12" i="10" l="1"/>
  <c r="Y12" i="10"/>
  <c r="X4" i="10"/>
  <c r="V12" i="10"/>
  <c r="V4" i="10"/>
  <c r="O12" i="10"/>
  <c r="S12" i="10"/>
  <c r="U4" i="10"/>
  <c r="T4" i="10"/>
  <c r="S4" i="10"/>
  <c r="R4" i="10"/>
  <c r="Q4" i="10"/>
  <c r="P4" i="10"/>
  <c r="AF8" i="10" l="1"/>
  <c r="AG8" i="10"/>
  <c r="AE15" i="10" l="1"/>
  <c r="AE4" i="10" l="1"/>
  <c r="AC17" i="8"/>
  <c r="AL5" i="1" l="1"/>
  <c r="AL6" i="1"/>
  <c r="AL7" i="1"/>
  <c r="AL8" i="1"/>
  <c r="AL10" i="1"/>
  <c r="AL11" i="1"/>
  <c r="AL3" i="1"/>
  <c r="AM5" i="1"/>
  <c r="AM6" i="1"/>
  <c r="AM7" i="1"/>
  <c r="AM8" i="1"/>
  <c r="AM10" i="1"/>
  <c r="AM11" i="1"/>
  <c r="AM3" i="1"/>
  <c r="AE4" i="14"/>
  <c r="AE5" i="14"/>
  <c r="AE6" i="14"/>
  <c r="AE7" i="14"/>
  <c r="AD3" i="14"/>
  <c r="AD5" i="14"/>
  <c r="AD6" i="14"/>
  <c r="AD7" i="14"/>
  <c r="AE2" i="14"/>
  <c r="AC8" i="14"/>
  <c r="K4" i="12"/>
  <c r="K5" i="12"/>
  <c r="K6" i="12"/>
  <c r="K7" i="12"/>
  <c r="K8" i="12"/>
  <c r="K9" i="12"/>
  <c r="K10" i="12"/>
  <c r="K11" i="12"/>
  <c r="K12" i="12"/>
  <c r="K13" i="12"/>
  <c r="K14" i="12"/>
  <c r="K16" i="12"/>
  <c r="K17" i="12"/>
  <c r="K18" i="12"/>
  <c r="K19" i="12"/>
  <c r="K20" i="12"/>
  <c r="K22" i="12"/>
  <c r="K23" i="12"/>
  <c r="K24" i="12"/>
  <c r="K25" i="12"/>
  <c r="K26" i="12"/>
  <c r="K27" i="12"/>
  <c r="K30" i="12"/>
  <c r="K31" i="12"/>
  <c r="K3" i="12"/>
  <c r="K29" i="12"/>
  <c r="AE4" i="11"/>
  <c r="AE5" i="11"/>
  <c r="AE8" i="11"/>
  <c r="AE9" i="11"/>
  <c r="AE12" i="11"/>
  <c r="AE13" i="11"/>
  <c r="AE15" i="11"/>
  <c r="AE16" i="11"/>
  <c r="AE17" i="11"/>
  <c r="AE18" i="11"/>
  <c r="AE19" i="11"/>
  <c r="AE21" i="11"/>
  <c r="AE22" i="11"/>
  <c r="AE26" i="11"/>
  <c r="AE27" i="11"/>
  <c r="AD4" i="11"/>
  <c r="AD5" i="11"/>
  <c r="AD6" i="11"/>
  <c r="AD7" i="11"/>
  <c r="AD8" i="11"/>
  <c r="AD9" i="11"/>
  <c r="AD10" i="11"/>
  <c r="AD11" i="11"/>
  <c r="AD12" i="11"/>
  <c r="AD13" i="11"/>
  <c r="AD15" i="11"/>
  <c r="AD16" i="11"/>
  <c r="AD17" i="11"/>
  <c r="AD18" i="11"/>
  <c r="AD19" i="11"/>
  <c r="AD21" i="11"/>
  <c r="AD22" i="11"/>
  <c r="AD23" i="11"/>
  <c r="AD26" i="11"/>
  <c r="AD27" i="11"/>
  <c r="AD3" i="11"/>
  <c r="AE25" i="11"/>
  <c r="AB25" i="11"/>
  <c r="AA13" i="10"/>
  <c r="AG13" i="10" s="1"/>
  <c r="AG17" i="10"/>
  <c r="AG18" i="10"/>
  <c r="AG19" i="10"/>
  <c r="AG20" i="10"/>
  <c r="AG21" i="10"/>
  <c r="AG23" i="10"/>
  <c r="AG24" i="10"/>
  <c r="AG25" i="10"/>
  <c r="AG26" i="10"/>
  <c r="AG27" i="10"/>
  <c r="AG29" i="10"/>
  <c r="AG30" i="10"/>
  <c r="AG4" i="10"/>
  <c r="AG5" i="10"/>
  <c r="AG6" i="10"/>
  <c r="AG7" i="10"/>
  <c r="AG9" i="10"/>
  <c r="AG10" i="10"/>
  <c r="AG11" i="10"/>
  <c r="AG14" i="10"/>
  <c r="AG15" i="10"/>
  <c r="AG3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4" i="10"/>
  <c r="AF5" i="10"/>
  <c r="AF6" i="10"/>
  <c r="AF7" i="10"/>
  <c r="AF9" i="10"/>
  <c r="AF10" i="10"/>
  <c r="AF11" i="10"/>
  <c r="AF13" i="10"/>
  <c r="AF14" i="10"/>
  <c r="AF15" i="10"/>
  <c r="AF3" i="10"/>
  <c r="J4" i="9"/>
  <c r="AD25" i="11" l="1"/>
  <c r="K29" i="9"/>
  <c r="K28" i="9"/>
  <c r="K26" i="9"/>
  <c r="K25" i="9"/>
  <c r="K24" i="9"/>
  <c r="K23" i="9"/>
  <c r="K22" i="9"/>
  <c r="K21" i="9"/>
  <c r="K19" i="9"/>
  <c r="K16" i="9"/>
  <c r="K14" i="9"/>
  <c r="K12" i="9"/>
  <c r="K11" i="9"/>
  <c r="K9" i="9"/>
  <c r="K7" i="9"/>
  <c r="K5" i="9"/>
  <c r="K3" i="9"/>
  <c r="K2" i="9"/>
  <c r="I27" i="9"/>
  <c r="I20" i="9"/>
  <c r="I17" i="9"/>
  <c r="I18" i="9" s="1"/>
  <c r="I15" i="9"/>
  <c r="I13" i="9"/>
  <c r="I10" i="9"/>
  <c r="I8" i="9"/>
  <c r="I6" i="9"/>
  <c r="I4" i="9"/>
  <c r="K4" i="9" s="1"/>
  <c r="AE29" i="8"/>
  <c r="AD29" i="8"/>
  <c r="AE28" i="8"/>
  <c r="AD28" i="8"/>
  <c r="AE26" i="8"/>
  <c r="AD26" i="8"/>
  <c r="AE25" i="8"/>
  <c r="AD25" i="8"/>
  <c r="AE24" i="8"/>
  <c r="AD24" i="8"/>
  <c r="AE23" i="8"/>
  <c r="AD23" i="8"/>
  <c r="AE22" i="8"/>
  <c r="AE21" i="8"/>
  <c r="AD21" i="8"/>
  <c r="AE19" i="8"/>
  <c r="AE17" i="8"/>
  <c r="AD17" i="8"/>
  <c r="AE16" i="8"/>
  <c r="AD16" i="8"/>
  <c r="AE14" i="8"/>
  <c r="AD14" i="8"/>
  <c r="AE12" i="8"/>
  <c r="AD12" i="8"/>
  <c r="AE11" i="8"/>
  <c r="AD11" i="8"/>
  <c r="AE9" i="8"/>
  <c r="AE7" i="8"/>
  <c r="AD7" i="8"/>
  <c r="AE5" i="8"/>
  <c r="AD5" i="8"/>
  <c r="AE3" i="8"/>
  <c r="AD3" i="8"/>
  <c r="AE2" i="8"/>
  <c r="AD2" i="8"/>
  <c r="AB27" i="8"/>
  <c r="AB22" i="8"/>
  <c r="AB18" i="8"/>
  <c r="AB14" i="8"/>
  <c r="AB12" i="8"/>
  <c r="AB9" i="8"/>
  <c r="AB8" i="8"/>
  <c r="AB6" i="8"/>
  <c r="AB4" i="8"/>
  <c r="Y23" i="11"/>
  <c r="AE23" i="11" s="1"/>
  <c r="U19" i="11"/>
  <c r="U18" i="11"/>
  <c r="U17" i="11"/>
  <c r="Y11" i="11"/>
  <c r="AE11" i="11" s="1"/>
  <c r="Y10" i="11"/>
  <c r="AE10" i="11" s="1"/>
  <c r="Y7" i="11"/>
  <c r="AE7" i="11" s="1"/>
  <c r="Y6" i="11"/>
  <c r="U13" i="11"/>
  <c r="U9" i="11"/>
  <c r="U7" i="11"/>
  <c r="U4" i="11"/>
  <c r="Y3" i="11"/>
  <c r="U3" i="11"/>
  <c r="AD22" i="8" l="1"/>
  <c r="AE3" i="11"/>
  <c r="AB10" i="8"/>
  <c r="AE6" i="11"/>
  <c r="AB13" i="8"/>
  <c r="AB15" i="8"/>
  <c r="AD9" i="8"/>
  <c r="K17" i="9"/>
  <c r="AB19" i="8"/>
  <c r="AB20" i="8" l="1"/>
  <c r="AD19" i="8"/>
  <c r="AD12" i="10"/>
  <c r="AF12" i="10" s="1"/>
  <c r="AA8" i="14" l="1"/>
  <c r="AA27" i="8"/>
  <c r="AA20" i="8"/>
  <c r="AA18" i="8"/>
  <c r="AA15" i="8"/>
  <c r="AA13" i="8"/>
  <c r="AA10" i="8"/>
  <c r="AA8" i="8"/>
  <c r="AA6" i="8"/>
  <c r="AA4" i="8"/>
  <c r="Z6" i="14"/>
  <c r="Z8" i="14" s="1"/>
  <c r="AB28" i="10"/>
  <c r="AB22" i="10"/>
  <c r="Z27" i="8"/>
  <c r="Z20" i="8"/>
  <c r="Z17" i="8"/>
  <c r="Z15" i="8"/>
  <c r="Z13" i="8"/>
  <c r="Z10" i="8"/>
  <c r="Z8" i="8"/>
  <c r="Z6" i="8"/>
  <c r="Z4" i="8"/>
  <c r="Z18" i="8" l="1"/>
  <c r="AA28" i="10"/>
  <c r="AG28" i="10" s="1"/>
  <c r="AA22" i="10"/>
  <c r="AG22" i="10" s="1"/>
  <c r="AA12" i="10"/>
  <c r="AG12" i="10" s="1"/>
  <c r="AC6" i="8"/>
  <c r="AD6" i="8" l="1"/>
  <c r="Y8" i="14"/>
  <c r="AE8" i="14" s="1"/>
  <c r="Y27" i="8"/>
  <c r="Y20" i="8"/>
  <c r="Y18" i="8"/>
  <c r="Y15" i="8"/>
  <c r="Y13" i="8"/>
  <c r="Y10" i="8"/>
  <c r="Y8" i="8"/>
  <c r="Y6" i="8"/>
  <c r="AE6" i="8" s="1"/>
  <c r="Y4" i="8"/>
  <c r="X8" i="14" l="1"/>
  <c r="Z7" i="10"/>
  <c r="H27" i="9"/>
  <c r="H20" i="9"/>
  <c r="H17" i="9"/>
  <c r="H18" i="9" s="1"/>
  <c r="H15" i="9"/>
  <c r="H13" i="9"/>
  <c r="H10" i="9"/>
  <c r="H8" i="9"/>
  <c r="H6" i="9"/>
  <c r="H4" i="9"/>
  <c r="X27" i="8"/>
  <c r="X20" i="8"/>
  <c r="X18" i="8"/>
  <c r="X15" i="8"/>
  <c r="X13" i="8"/>
  <c r="X10" i="8"/>
  <c r="X8" i="8"/>
  <c r="X6" i="8"/>
  <c r="X4" i="8"/>
  <c r="T17" i="8"/>
  <c r="W4" i="8" l="1"/>
  <c r="C5" i="13" l="1"/>
  <c r="W8" i="14"/>
  <c r="W27" i="8"/>
  <c r="W20" i="8"/>
  <c r="W18" i="8"/>
  <c r="W15" i="8"/>
  <c r="W13" i="8"/>
  <c r="W10" i="8"/>
  <c r="W8" i="8"/>
  <c r="W6" i="8"/>
  <c r="J10" i="9" l="1"/>
  <c r="K10" i="9" s="1"/>
  <c r="AB8" i="14" l="1"/>
  <c r="AD8" i="14" s="1"/>
  <c r="V8" i="14" l="1"/>
  <c r="X28" i="10"/>
  <c r="X22" i="10"/>
  <c r="V27" i="8"/>
  <c r="V20" i="8"/>
  <c r="V17" i="8"/>
  <c r="V15" i="8"/>
  <c r="V13" i="8"/>
  <c r="V10" i="8"/>
  <c r="V8" i="8"/>
  <c r="V6" i="8"/>
  <c r="V4" i="8"/>
  <c r="U23" i="11"/>
  <c r="U22" i="11"/>
  <c r="U21" i="11"/>
  <c r="U12" i="11"/>
  <c r="U11" i="11"/>
  <c r="U10" i="11"/>
  <c r="U8" i="11"/>
  <c r="U6" i="11"/>
  <c r="U5" i="11"/>
  <c r="U22" i="8"/>
  <c r="U21" i="8"/>
  <c r="U17" i="8"/>
  <c r="V18" i="8" l="1"/>
  <c r="U8" i="14"/>
  <c r="AC27" i="8"/>
  <c r="AC20" i="8"/>
  <c r="AC18" i="8"/>
  <c r="AC15" i="8"/>
  <c r="AC13" i="8"/>
  <c r="AC10" i="8"/>
  <c r="AC8" i="8"/>
  <c r="AC4" i="8"/>
  <c r="U27" i="8"/>
  <c r="U20" i="8"/>
  <c r="U18" i="8"/>
  <c r="U15" i="8"/>
  <c r="U13" i="8"/>
  <c r="U10" i="8"/>
  <c r="U8" i="8"/>
  <c r="U6" i="8"/>
  <c r="AD10" i="8" l="1"/>
  <c r="AE10" i="8"/>
  <c r="AE15" i="8"/>
  <c r="AD15" i="8"/>
  <c r="AD20" i="8"/>
  <c r="AE20" i="8"/>
  <c r="AE4" i="8"/>
  <c r="AD4" i="8"/>
  <c r="AE13" i="8"/>
  <c r="AD13" i="8"/>
  <c r="AE18" i="8"/>
  <c r="AD18" i="8"/>
  <c r="AE27" i="8"/>
  <c r="AD27" i="8"/>
  <c r="AE8" i="8"/>
  <c r="AD8" i="8"/>
  <c r="U4" i="8"/>
  <c r="T5" i="14" l="1"/>
  <c r="T3" i="14"/>
  <c r="T25" i="11"/>
  <c r="V28" i="10"/>
  <c r="V27" i="10"/>
  <c r="V22" i="10"/>
  <c r="G27" i="9"/>
  <c r="G20" i="9"/>
  <c r="G18" i="9"/>
  <c r="G15" i="9"/>
  <c r="G13" i="9"/>
  <c r="G10" i="9"/>
  <c r="G8" i="9"/>
  <c r="G6" i="9"/>
  <c r="G4" i="9"/>
  <c r="T27" i="8"/>
  <c r="T22" i="8"/>
  <c r="T20" i="8"/>
  <c r="T18" i="8"/>
  <c r="T15" i="8"/>
  <c r="T13" i="8"/>
  <c r="T10" i="8"/>
  <c r="T8" i="8"/>
  <c r="T6" i="8"/>
  <c r="T4" i="8"/>
  <c r="T8" i="14" l="1"/>
  <c r="N8" i="14"/>
  <c r="O8" i="14"/>
  <c r="P8" i="14"/>
  <c r="Q8" i="14"/>
  <c r="R8" i="14"/>
  <c r="S8" i="14"/>
  <c r="S27" i="8" l="1"/>
  <c r="S20" i="8"/>
  <c r="S18" i="8"/>
  <c r="S15" i="8"/>
  <c r="S13" i="8"/>
  <c r="S10" i="8"/>
  <c r="S8" i="8"/>
  <c r="S6" i="8"/>
  <c r="S4" i="8"/>
  <c r="R27" i="8" l="1"/>
  <c r="R20" i="8"/>
  <c r="R18" i="8"/>
  <c r="R15" i="8"/>
  <c r="R13" i="8"/>
  <c r="R10" i="8"/>
  <c r="R8" i="8"/>
  <c r="R6" i="8"/>
  <c r="R4" i="8"/>
  <c r="S28" i="10" l="1"/>
  <c r="S22" i="10"/>
  <c r="Q27" i="8" l="1"/>
  <c r="Q20" i="8"/>
  <c r="Q18" i="8"/>
  <c r="Q15" i="8"/>
  <c r="Q13" i="8"/>
  <c r="Q10" i="8"/>
  <c r="Q8" i="8"/>
  <c r="Q6" i="8"/>
  <c r="Q4" i="8"/>
  <c r="J27" i="9" l="1"/>
  <c r="K27" i="9" s="1"/>
  <c r="J20" i="9"/>
  <c r="K20" i="9" s="1"/>
  <c r="J18" i="9"/>
  <c r="K18" i="9" s="1"/>
  <c r="J15" i="9"/>
  <c r="K15" i="9" s="1"/>
  <c r="J13" i="9"/>
  <c r="K13" i="9" s="1"/>
  <c r="J8" i="9"/>
  <c r="K8" i="9" s="1"/>
  <c r="J6" i="9"/>
  <c r="K6" i="9" s="1"/>
  <c r="P27" i="8"/>
  <c r="P20" i="8"/>
  <c r="P18" i="8"/>
  <c r="P15" i="8"/>
  <c r="P13" i="8"/>
  <c r="P10" i="8"/>
  <c r="P8" i="8"/>
  <c r="P3" i="8"/>
  <c r="P5" i="8" l="1"/>
  <c r="P4" i="8"/>
  <c r="P6" i="8" l="1"/>
  <c r="Q28" i="10"/>
  <c r="Q27" i="10"/>
  <c r="Q22" i="10"/>
  <c r="Q12" i="10"/>
  <c r="O27" i="8"/>
  <c r="O20" i="8"/>
  <c r="O18" i="8"/>
  <c r="O15" i="8"/>
  <c r="O13" i="8"/>
  <c r="O10" i="8"/>
  <c r="O8" i="8"/>
  <c r="O6" i="8"/>
  <c r="O4" i="8"/>
  <c r="P12" i="10" l="1"/>
  <c r="N23" i="11" l="1"/>
  <c r="N27" i="8"/>
  <c r="N20" i="8"/>
  <c r="N17" i="8"/>
  <c r="N15" i="8"/>
  <c r="N13" i="8"/>
  <c r="N10" i="8"/>
  <c r="N8" i="8"/>
  <c r="N6" i="8"/>
  <c r="N4" i="8"/>
  <c r="N18" i="8" l="1"/>
  <c r="O24" i="10"/>
  <c r="F27" i="9"/>
  <c r="F20" i="9"/>
  <c r="F17" i="9"/>
  <c r="F15" i="9"/>
  <c r="F13" i="9"/>
  <c r="F10" i="9"/>
  <c r="F8" i="9"/>
  <c r="F5" i="9"/>
  <c r="F4" i="9"/>
  <c r="M27" i="8"/>
  <c r="M15" i="8"/>
  <c r="M13" i="8"/>
  <c r="M18" i="8"/>
  <c r="F18" i="9" l="1"/>
  <c r="F6" i="9"/>
  <c r="M6" i="8"/>
  <c r="M4" i="8"/>
  <c r="M8" i="8"/>
  <c r="M20" i="8"/>
  <c r="M10" i="8"/>
  <c r="M8" i="14" l="1"/>
  <c r="L26" i="8" l="1"/>
  <c r="L23" i="8"/>
  <c r="L24" i="8"/>
  <c r="L22" i="8"/>
  <c r="L19" i="8"/>
  <c r="L16" i="8"/>
  <c r="L14" i="8"/>
  <c r="L12" i="8"/>
  <c r="L11" i="8"/>
  <c r="L9" i="8"/>
  <c r="L7" i="8"/>
  <c r="L2" i="8" l="1"/>
  <c r="L28" i="8" l="1"/>
  <c r="L25" i="8"/>
  <c r="L20" i="8"/>
  <c r="L15" i="8"/>
  <c r="L13" i="8"/>
  <c r="L10" i="8"/>
  <c r="L6" i="8"/>
  <c r="L8" i="8" l="1"/>
  <c r="L4" i="8"/>
  <c r="L18" i="8"/>
  <c r="L27" i="8"/>
  <c r="L13" i="11" l="1"/>
  <c r="L7" i="11" l="1"/>
  <c r="L25" i="11" l="1"/>
  <c r="L23" i="11"/>
  <c r="L22" i="11"/>
  <c r="L21" i="11"/>
  <c r="L19" i="11"/>
  <c r="L18" i="11"/>
  <c r="L17" i="11"/>
  <c r="L16" i="11"/>
  <c r="L15" i="11"/>
  <c r="L12" i="11"/>
  <c r="L11" i="11"/>
  <c r="L10" i="11"/>
  <c r="L9" i="11"/>
  <c r="L8" i="11"/>
  <c r="L6" i="11"/>
  <c r="L5" i="11"/>
  <c r="L4" i="11"/>
  <c r="L3" i="11"/>
  <c r="K8" i="14" l="1"/>
  <c r="M26" i="10"/>
  <c r="M22" i="10"/>
  <c r="M17" i="10"/>
  <c r="K27" i="8"/>
  <c r="K20" i="8"/>
  <c r="K18" i="8"/>
  <c r="K15" i="8"/>
  <c r="K13" i="8"/>
  <c r="K10" i="8"/>
  <c r="K8" i="8"/>
  <c r="K6" i="8"/>
  <c r="K4" i="8"/>
  <c r="L8" i="14" l="1"/>
  <c r="J8" i="14"/>
  <c r="F6" i="14"/>
  <c r="G8" i="14"/>
  <c r="L28" i="10"/>
  <c r="L21" i="10"/>
  <c r="I29" i="10"/>
  <c r="I15" i="10"/>
  <c r="G27" i="8"/>
  <c r="J27" i="8"/>
  <c r="G20" i="8"/>
  <c r="J20" i="8"/>
  <c r="G18" i="8"/>
  <c r="J18" i="8"/>
  <c r="G15" i="8"/>
  <c r="J15" i="8"/>
  <c r="G10" i="8"/>
  <c r="J10" i="8"/>
  <c r="G8" i="8"/>
  <c r="J8" i="8"/>
  <c r="G6" i="8"/>
  <c r="J6" i="8"/>
  <c r="G13" i="8"/>
  <c r="J13" i="8"/>
  <c r="G4" i="8"/>
  <c r="J4" i="8"/>
  <c r="F27" i="8"/>
  <c r="I27" i="8"/>
  <c r="F20" i="8"/>
  <c r="I20" i="8"/>
  <c r="F18" i="8"/>
  <c r="I18" i="8"/>
  <c r="F15" i="8"/>
  <c r="I15" i="8"/>
  <c r="F13" i="8"/>
  <c r="I13" i="8"/>
  <c r="F10" i="8"/>
  <c r="F8" i="8"/>
  <c r="I8" i="8"/>
  <c r="F6" i="8"/>
  <c r="I6" i="8"/>
  <c r="F4" i="8"/>
  <c r="I4" i="8"/>
  <c r="I10" i="8"/>
  <c r="I7" i="14"/>
  <c r="I6" i="14"/>
  <c r="I5" i="14"/>
  <c r="I4" i="14"/>
  <c r="I3" i="14"/>
  <c r="E4" i="9"/>
  <c r="E27" i="9"/>
  <c r="E20" i="9"/>
  <c r="E18" i="9"/>
  <c r="E15" i="9"/>
  <c r="E13" i="9"/>
  <c r="E10" i="9"/>
  <c r="E8" i="9"/>
  <c r="E6" i="9"/>
  <c r="H10" i="8"/>
  <c r="H3" i="14"/>
  <c r="H5" i="14"/>
  <c r="H7" i="14"/>
  <c r="B8" i="14"/>
  <c r="C8" i="14"/>
  <c r="D8" i="14"/>
  <c r="J29" i="10"/>
  <c r="J15" i="10"/>
  <c r="H27" i="8"/>
  <c r="D27" i="8"/>
  <c r="H20" i="8"/>
  <c r="D20" i="8"/>
  <c r="H18" i="8"/>
  <c r="D18" i="8"/>
  <c r="H15" i="8"/>
  <c r="D15" i="8"/>
  <c r="H13" i="8"/>
  <c r="D13" i="8"/>
  <c r="D10" i="8"/>
  <c r="H8" i="8"/>
  <c r="D8" i="8"/>
  <c r="H6" i="8"/>
  <c r="D6" i="8"/>
  <c r="H4" i="8"/>
  <c r="D4" i="8"/>
  <c r="C3" i="13"/>
  <c r="C4" i="13"/>
  <c r="C6" i="13"/>
  <c r="C7" i="13"/>
  <c r="C2" i="13"/>
  <c r="E8" i="14"/>
  <c r="D27" i="9"/>
  <c r="C27" i="9"/>
  <c r="B27" i="9"/>
  <c r="D20" i="9"/>
  <c r="C20" i="9"/>
  <c r="B20" i="9"/>
  <c r="D18" i="9"/>
  <c r="C18" i="9"/>
  <c r="B18" i="9"/>
  <c r="D15" i="9"/>
  <c r="C15" i="9"/>
  <c r="B15" i="9"/>
  <c r="D13" i="9"/>
  <c r="C13" i="9"/>
  <c r="B13" i="9"/>
  <c r="D10" i="9"/>
  <c r="C10" i="9"/>
  <c r="B10" i="9"/>
  <c r="D8" i="9"/>
  <c r="C8" i="9"/>
  <c r="B8" i="9"/>
  <c r="D6" i="9"/>
  <c r="C6" i="9"/>
  <c r="B6" i="9"/>
  <c r="D4" i="9"/>
  <c r="C4" i="9"/>
  <c r="B4" i="9"/>
  <c r="B27" i="8"/>
  <c r="E27" i="8"/>
  <c r="C27" i="8"/>
  <c r="B20" i="8"/>
  <c r="E20" i="8"/>
  <c r="C20" i="8"/>
  <c r="B18" i="8"/>
  <c r="E18" i="8"/>
  <c r="C18" i="8"/>
  <c r="B15" i="8"/>
  <c r="E15" i="8"/>
  <c r="C15" i="8"/>
  <c r="B13" i="8"/>
  <c r="E13" i="8"/>
  <c r="C13" i="8"/>
  <c r="B10" i="8"/>
  <c r="E10" i="8"/>
  <c r="C10" i="8"/>
  <c r="B8" i="8"/>
  <c r="E8" i="8"/>
  <c r="C8" i="8"/>
  <c r="B6" i="8"/>
  <c r="E6" i="8"/>
  <c r="C6" i="8"/>
  <c r="B4" i="8"/>
  <c r="E4" i="8"/>
  <c r="C4" i="8"/>
  <c r="F8" i="14" l="1"/>
  <c r="H8" i="14"/>
  <c r="I8" i="14"/>
</calcChain>
</file>

<file path=xl/sharedStrings.xml><?xml version="1.0" encoding="utf-8"?>
<sst xmlns="http://schemas.openxmlformats.org/spreadsheetml/2006/main" count="360" uniqueCount="205">
  <si>
    <t>Ryszard Wtorkowski</t>
  </si>
  <si>
    <t>Iwona Wtorkowska</t>
  </si>
  <si>
    <t>Pozostali akcjonariusze</t>
  </si>
  <si>
    <t>Fundusze zarządzane przez OPERA TFI</t>
  </si>
  <si>
    <t>Liczba pracowników</t>
  </si>
  <si>
    <t>wyższe</t>
  </si>
  <si>
    <t>średnie</t>
  </si>
  <si>
    <t>zawodowe</t>
  </si>
  <si>
    <t>podstawowe</t>
  </si>
  <si>
    <t>kobiety</t>
  </si>
  <si>
    <t>mężczyźni</t>
  </si>
  <si>
    <t>Przychody ze sprzedaży</t>
  </si>
  <si>
    <t>Koszty sprzedanych produktów, towarów i materiałów</t>
  </si>
  <si>
    <t>Pozostałe przychody operacyjne</t>
  </si>
  <si>
    <t>Koszty sprzedaży</t>
  </si>
  <si>
    <t>Koszty ogólnego zarządu</t>
  </si>
  <si>
    <t>Przychody finansowe</t>
  </si>
  <si>
    <t>Koszty finansowe</t>
  </si>
  <si>
    <t>Podatek dochodowy</t>
  </si>
  <si>
    <t>Pozostałe koszty operacyjne</t>
  </si>
  <si>
    <t>31.03.2016.</t>
  </si>
  <si>
    <t>30.06.2016.</t>
  </si>
  <si>
    <t>30.09.2016.</t>
  </si>
  <si>
    <t>31.12.2016.</t>
  </si>
  <si>
    <t>31.03.2017.</t>
  </si>
  <si>
    <t>Aktywa trwałe</t>
  </si>
  <si>
    <t>Wartości niematerialne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</si>
  <si>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</si>
  <si>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</si>
  <si>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</si>
  <si>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</si>
  <si>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</si>
  <si>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</si>
  <si>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</si>
  <si>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</si>
  <si>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razem</t>
  </si>
  <si>
    <t>Kapitał własny</t>
  </si>
  <si>
    <t>Zobowiązania długoterminowe</t>
  </si>
  <si>
    <t>Zobowiązania krótkoterminowe</t>
  </si>
  <si>
    <t>Pasywa razem</t>
  </si>
  <si>
    <t>Wartość księgowa na akcję (zł)</t>
  </si>
  <si>
    <t>Bilans</t>
  </si>
  <si>
    <t>Działalność operacyjna</t>
  </si>
  <si>
    <t>Korekty razem</t>
  </si>
  <si>
    <t>Amortyzacja</t>
  </si>
  <si>
    <t>Zyski z tytułu różnic kursowych</t>
  </si>
  <si>
    <t>Odsetki i udziały w zyskach (dywidendy)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</si>
  <si>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</si>
  <si>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</si>
  <si>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</si>
  <si>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</si>
  <si>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</si>
  <si>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pieniężne netto z działalności operacyjnej</t>
  </si>
  <si>
    <t>Działalność inwestycyjna</t>
  </si>
  <si>
    <t>Wpływy</t>
  </si>
  <si>
    <t>Wydatki</t>
  </si>
  <si>
    <t>Nabycie wartości niematerialnych i prawnych oraz rzeczowych aktywów trwałych</t>
  </si>
  <si>
    <t>Przepływy pieniężne netto z działalności inwestycyjnej</t>
  </si>
  <si>
    <t>Działalność finansowa</t>
  </si>
  <si>
    <t>Przepływy pieniężne netto z działalności finansowej</t>
  </si>
  <si>
    <t>Przepływy pieniężne netto razem</t>
  </si>
  <si>
    <t>Środki pieniężne na początku okresu</t>
  </si>
  <si>
    <t>Środki pieniężne na koniec okresu</t>
  </si>
  <si>
    <t>Zbycie wartości niematerialnych i prawnych oraz rzeczowych aktywów trwałych</t>
  </si>
  <si>
    <t>Inwestycje</t>
  </si>
  <si>
    <t>Sprzęt IT, oprogramowanie</t>
  </si>
  <si>
    <t>Samochody i wózki</t>
  </si>
  <si>
    <t>Maszyny i urządzenia specjalistyczne</t>
  </si>
  <si>
    <t>Wartość prac rozwojowych</t>
  </si>
  <si>
    <t>Zmiana y/y</t>
  </si>
  <si>
    <t>Zmiana q/q</t>
  </si>
  <si>
    <t>Inwestycje razem</t>
  </si>
  <si>
    <t>Koszty sprzedaży jako % przychodów</t>
  </si>
  <si>
    <t>Koszty ogólnego zarządu jako % przychodów</t>
  </si>
  <si>
    <t>EBITDA</t>
  </si>
  <si>
    <t>Pasywa</t>
  </si>
  <si>
    <t>Aktywa</t>
  </si>
  <si>
    <t>Długoterminowe kredyty i pożyczki</t>
  </si>
  <si>
    <t>Pozostałe długoterminowe zobowiązania finansowe</t>
  </si>
  <si>
    <t>Krótkoterminowe kredyty i pożyczki</t>
  </si>
  <si>
    <t>Pozostałe krótkoterminowe zobowiązania finansowe</t>
  </si>
  <si>
    <t>Krótkoterminowe zobowiązania handlowe</t>
  </si>
  <si>
    <t>Pozostałe krótkoterminowe zobowiązania</t>
  </si>
  <si>
    <t>2015Q2</t>
  </si>
  <si>
    <t>2015Q3</t>
  </si>
  <si>
    <t>2015Q4</t>
  </si>
  <si>
    <t>Kapitał akcjonariuszy mniejszościowych</t>
  </si>
  <si>
    <t>Wyposażenie</t>
  </si>
  <si>
    <t>2016Q1</t>
  </si>
  <si>
    <t>2016Q2</t>
  </si>
  <si>
    <t>2016Q3</t>
  </si>
  <si>
    <t>2016Q4</t>
  </si>
  <si>
    <t>2017Q1</t>
  </si>
  <si>
    <t>przychody kraj</t>
  </si>
  <si>
    <t>% przychodów z kraju</t>
  </si>
  <si>
    <t>przychody zagranica</t>
  </si>
  <si>
    <t>% przychodów z zagranicy</t>
  </si>
  <si>
    <t>Pozostałe rezerwy krótkoterminowe</t>
  </si>
  <si>
    <t>Zysk z działalności inwestycyjnej</t>
  </si>
  <si>
    <t>Spłaty kredytów i pożyczek</t>
  </si>
  <si>
    <t>Płatność zobowiązań z tytułu umów leasingu finansowego</t>
  </si>
  <si>
    <t>Odsetki</t>
  </si>
  <si>
    <t>Koszty sprzedanych produktów, towarów i materiałów jako % przychodów</t>
  </si>
  <si>
    <t>[mln zł, %, pp]</t>
  </si>
  <si>
    <t>31.12.2014.</t>
  </si>
  <si>
    <t>31.12.2015.</t>
  </si>
  <si>
    <t>[mln zł, %]</t>
  </si>
  <si>
    <t>Środki pieniężne</t>
  </si>
  <si>
    <t>2014Q1</t>
  </si>
  <si>
    <t>2014Q2</t>
  </si>
  <si>
    <t>2014Q3</t>
  </si>
  <si>
    <t>2014Q4</t>
  </si>
  <si>
    <t>2015Q1</t>
  </si>
  <si>
    <t>Struktura zatrudnienia wg wykształcenia</t>
  </si>
  <si>
    <t>Struktura zatrudnienia wg płci</t>
  </si>
  <si>
    <t>[liczba osób, %]</t>
  </si>
  <si>
    <t>Liczba pracowników w grupie kapitałowej</t>
  </si>
  <si>
    <t>Razem</t>
  </si>
  <si>
    <t>Liczba akcji i głosów</t>
  </si>
  <si>
    <t>Udział % w kapitale i w głosach</t>
  </si>
  <si>
    <t>Spis treści</t>
  </si>
  <si>
    <t>Dane na temat zatrudnienia</t>
  </si>
  <si>
    <t>Akcjonariat</t>
  </si>
  <si>
    <t>dane kwartalne</t>
  </si>
  <si>
    <t>dane roczne</t>
  </si>
  <si>
    <t>Rachunek wyników:</t>
  </si>
  <si>
    <t>Rachunek przepływów pieniężnych:</t>
  </si>
  <si>
    <t>Podstawowe informacje</t>
  </si>
  <si>
    <t>Nazwa:</t>
  </si>
  <si>
    <t>LUG S.A.</t>
  </si>
  <si>
    <t>Rynek notowań:</t>
  </si>
  <si>
    <t>Branża:</t>
  </si>
  <si>
    <t>Ticker:</t>
  </si>
  <si>
    <t>NewConnect</t>
  </si>
  <si>
    <t>LUG</t>
  </si>
  <si>
    <t>ISIN:</t>
  </si>
  <si>
    <t>PLLUG0000010</t>
  </si>
  <si>
    <t>Instalacje budowlane i telekomunikacyjne</t>
  </si>
  <si>
    <t>2017Q2</t>
  </si>
  <si>
    <t>2017Q3</t>
  </si>
  <si>
    <t>30.09.2017</t>
  </si>
  <si>
    <t>30.06.2017</t>
  </si>
  <si>
    <t>31.12.2017.</t>
  </si>
  <si>
    <t>2017Q4</t>
  </si>
  <si>
    <t>2018Q1</t>
  </si>
  <si>
    <t>31.03.2018</t>
  </si>
  <si>
    <t>2018Q2</t>
  </si>
  <si>
    <t>30.06.2018</t>
  </si>
  <si>
    <t>2018Q3</t>
  </si>
  <si>
    <t>30.09.2018</t>
  </si>
  <si>
    <t>2018Q4</t>
  </si>
  <si>
    <t>31.12.2018</t>
  </si>
  <si>
    <t>2019Q1</t>
  </si>
  <si>
    <t>31.03.2019</t>
  </si>
  <si>
    <t>2019Q2</t>
  </si>
  <si>
    <t>30.06.2019</t>
  </si>
  <si>
    <t>2019Q3</t>
  </si>
  <si>
    <t>30.09.2019</t>
  </si>
  <si>
    <t>2019Q4</t>
  </si>
  <si>
    <t>31.12.2019</t>
  </si>
  <si>
    <t>2020Q1</t>
  </si>
  <si>
    <t>31.03.2020</t>
  </si>
  <si>
    <t>Zysk/ strata brutto na sprzedaży</t>
  </si>
  <si>
    <t>Zysk/ strata na działalności operacyjnej</t>
  </si>
  <si>
    <t>Zysk/ strata przed opodatkowaniem</t>
  </si>
  <si>
    <t>Zysk/ strata netto z działalności kontynuowanej</t>
  </si>
  <si>
    <t>Zysk/strata netto</t>
  </si>
  <si>
    <t>Zysk/ strata netto należny akcjonariuszom jednostki dominującej</t>
  </si>
  <si>
    <t>Zysk/ strata netto na jedną akcję (zł)</t>
  </si>
  <si>
    <t>Zysk/ strata netto</t>
  </si>
  <si>
    <t>Zysk/strata przed opodatkowaniem</t>
  </si>
  <si>
    <t>Rentowność operacyjna</t>
  </si>
  <si>
    <t>Rentowność EBITDA</t>
  </si>
  <si>
    <t>Rentowność  netto</t>
  </si>
  <si>
    <t>Rentowność brutto na sprzedaży</t>
  </si>
  <si>
    <t>Rentowność netto</t>
  </si>
  <si>
    <t>2020Q2</t>
  </si>
  <si>
    <t>30.06.2020</t>
  </si>
  <si>
    <t>2020Q3</t>
  </si>
  <si>
    <t>30.09.2020</t>
  </si>
  <si>
    <t>2020Q4</t>
  </si>
  <si>
    <t>31.12.2020</t>
  </si>
  <si>
    <t>2021Q1</t>
  </si>
  <si>
    <t>31.03.2021</t>
  </si>
  <si>
    <t>2021Q2</t>
  </si>
  <si>
    <t>30.06.2021</t>
  </si>
  <si>
    <t>Budynki</t>
  </si>
  <si>
    <t>2021Q3</t>
  </si>
  <si>
    <t>30.09.2021</t>
  </si>
  <si>
    <t>MKK3 Sp. z o.o.</t>
  </si>
  <si>
    <t>2021Q4</t>
  </si>
  <si>
    <t>2022Q1</t>
  </si>
  <si>
    <t>31.03.2022</t>
  </si>
  <si>
    <t>2022Q2</t>
  </si>
  <si>
    <t>31.12.2021</t>
  </si>
  <si>
    <t>30.06.2022</t>
  </si>
  <si>
    <t>Długoterminowe rozliczenia międzyokresowe przychodów i rezerwy</t>
  </si>
  <si>
    <t>2022Q3</t>
  </si>
  <si>
    <t>30.09.2022</t>
  </si>
  <si>
    <t>2022Q4</t>
  </si>
  <si>
    <t>2022Q1-4</t>
  </si>
  <si>
    <t>31.12.2022</t>
  </si>
  <si>
    <t>Pozostałe aktywa finansowe</t>
  </si>
  <si>
    <t>Rzeczowe aktywa trwałe wraz z tyt.praw do użytkowania lokali</t>
  </si>
  <si>
    <t>Stan na dzień: 31.12.2022.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</si>
</sst>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.0000\ _z_ł_-;\-* #,##0.0000\ _z_ł_-;_-* &quot;-&quot;??\ _z_ł_-;_-@_-"/>
  </numFmts>
  <fonts count="24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i/>
      <sz val="12"/>
      <color theme="1"/>
      <name val="Arial"/>
      <family val="2"/>
      <charset val="238"/>
      <scheme val="minor"/>
    </font>
    <font>
      <i/>
      <sz val="12"/>
      <name val="Arial"/>
      <family val="2"/>
      <scheme val="minor"/>
    </font>
    <font>
      <sz val="12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  <font>
      <b/>
      <sz val="12"/>
      <color theme="1"/>
      <name val="Arial"/>
      <family val="2"/>
      <charset val="238"/>
      <scheme val="minor"/>
    </font>
    <font>
      <b/>
      <sz val="12"/>
      <color rgb="FFFF0000"/>
      <name val="Arial"/>
      <family val="2"/>
      <scheme val="minor"/>
    </font>
    <font>
      <sz val="12"/>
      <color rgb="FFFF0000"/>
      <name val="Arial"/>
      <family val="2"/>
      <scheme val="minor"/>
    </font>
    <font>
      <i/>
      <sz val="12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8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2" fontId="0" fillId="0" borderId="0" xfId="0" applyNumberFormat="1"/>
    <xf numFmtId="165" fontId="8" fillId="0" borderId="0" xfId="27" applyNumberFormat="1" applyFont="1"/>
    <xf numFmtId="165" fontId="0" fillId="0" borderId="0" xfId="27" applyNumberFormat="1" applyFont="1"/>
    <xf numFmtId="2" fontId="7" fillId="0" borderId="0" xfId="0" applyNumberFormat="1" applyFont="1"/>
    <xf numFmtId="165" fontId="7" fillId="0" borderId="0" xfId="27" applyNumberFormat="1" applyFont="1"/>
    <xf numFmtId="2" fontId="9" fillId="0" borderId="0" xfId="0" applyNumberFormat="1" applyFont="1"/>
    <xf numFmtId="2" fontId="7" fillId="2" borderId="0" xfId="0" applyNumberFormat="1" applyFont="1" applyFill="1"/>
    <xf numFmtId="2" fontId="0" fillId="2" borderId="0" xfId="0" applyNumberFormat="1" applyFill="1"/>
    <xf numFmtId="165" fontId="8" fillId="2" borderId="0" xfId="27" applyNumberFormat="1" applyFont="1" applyFill="1"/>
    <xf numFmtId="2" fontId="6" fillId="3" borderId="0" xfId="0" applyNumberFormat="1" applyFont="1" applyFill="1"/>
    <xf numFmtId="165" fontId="6" fillId="3" borderId="0" xfId="27" applyNumberFormat="1" applyFont="1" applyFill="1"/>
    <xf numFmtId="165" fontId="2" fillId="0" borderId="0" xfId="27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0" fontId="4" fillId="0" borderId="0" xfId="211"/>
    <xf numFmtId="0" fontId="0" fillId="0" borderId="0" xfId="0" applyAlignment="1">
      <alignment horizontal="right"/>
    </xf>
    <xf numFmtId="9" fontId="13" fillId="0" borderId="0" xfId="27" applyFont="1" applyAlignment="1">
      <alignment horizontal="left" vertical="center"/>
    </xf>
    <xf numFmtId="9" fontId="12" fillId="0" borderId="0" xfId="27" applyFont="1"/>
    <xf numFmtId="9" fontId="13" fillId="0" borderId="0" xfId="27" applyFont="1" applyAlignment="1">
      <alignment horizontal="left"/>
    </xf>
    <xf numFmtId="165" fontId="8" fillId="0" borderId="0" xfId="27" applyNumberFormat="1" applyFont="1" applyFill="1"/>
    <xf numFmtId="1" fontId="7" fillId="0" borderId="0" xfId="0" applyNumberFormat="1" applyFont="1"/>
    <xf numFmtId="2" fontId="14" fillId="0" borderId="0" xfId="0" applyNumberFormat="1" applyFont="1"/>
    <xf numFmtId="2" fontId="15" fillId="2" borderId="0" xfId="0" applyNumberFormat="1" applyFont="1" applyFill="1"/>
    <xf numFmtId="2" fontId="15" fillId="0" borderId="0" xfId="0" applyNumberFormat="1" applyFont="1"/>
    <xf numFmtId="2" fontId="0" fillId="0" borderId="0" xfId="0" quotePrefix="1" applyNumberFormat="1"/>
    <xf numFmtId="164" fontId="0" fillId="0" borderId="0" xfId="384" applyFont="1" applyFill="1"/>
    <xf numFmtId="0" fontId="0" fillId="0" borderId="0" xfId="27" applyNumberFormat="1" applyFont="1"/>
    <xf numFmtId="2" fontId="14" fillId="3" borderId="0" xfId="0" applyNumberFormat="1" applyFont="1" applyFill="1"/>
    <xf numFmtId="2" fontId="14" fillId="2" borderId="0" xfId="0" applyNumberFormat="1" applyFont="1" applyFill="1"/>
    <xf numFmtId="165" fontId="16" fillId="0" borderId="0" xfId="27" applyNumberFormat="1" applyFont="1" applyFill="1"/>
    <xf numFmtId="165" fontId="16" fillId="2" borderId="0" xfId="27" applyNumberFormat="1" applyFont="1" applyFill="1"/>
    <xf numFmtId="1" fontId="7" fillId="2" borderId="0" xfId="0" applyNumberFormat="1" applyFont="1" applyFill="1" applyAlignment="1">
      <alignment horizontal="right"/>
    </xf>
    <xf numFmtId="165" fontId="14" fillId="0" borderId="0" xfId="27" applyNumberFormat="1" applyFont="1" applyFill="1"/>
    <xf numFmtId="165" fontId="15" fillId="0" borderId="0" xfId="27" applyNumberFormat="1" applyFont="1" applyFill="1"/>
    <xf numFmtId="165" fontId="14" fillId="0" borderId="0" xfId="27" applyNumberFormat="1" applyFont="1"/>
    <xf numFmtId="2" fontId="0" fillId="0" borderId="0" xfId="27" applyNumberFormat="1" applyFont="1"/>
    <xf numFmtId="0" fontId="11" fillId="2" borderId="0" xfId="0" applyFont="1" applyFill="1"/>
    <xf numFmtId="165" fontId="15" fillId="0" borderId="0" xfId="27" applyNumberFormat="1" applyFont="1"/>
    <xf numFmtId="165" fontId="17" fillId="0" borderId="0" xfId="27" applyNumberFormat="1" applyFont="1"/>
    <xf numFmtId="165" fontId="17" fillId="0" borderId="0" xfId="27" applyNumberFormat="1" applyFont="1" applyFill="1"/>
    <xf numFmtId="165" fontId="17" fillId="2" borderId="0" xfId="27" applyNumberFormat="1" applyFont="1" applyFill="1"/>
    <xf numFmtId="165" fontId="17" fillId="0" borderId="0" xfId="27" applyNumberFormat="1" applyFont="1" applyBorder="1"/>
    <xf numFmtId="165" fontId="17" fillId="0" borderId="0" xfId="27" applyNumberFormat="1" applyFont="1" applyFill="1" applyBorder="1"/>
    <xf numFmtId="2" fontId="15" fillId="0" borderId="1" xfId="0" applyNumberFormat="1" applyFont="1" applyBorder="1"/>
    <xf numFmtId="2" fontId="15" fillId="2" borderId="1" xfId="0" applyNumberFormat="1" applyFont="1" applyFill="1" applyBorder="1"/>
    <xf numFmtId="165" fontId="15" fillId="0" borderId="1" xfId="27" applyNumberFormat="1" applyFont="1" applyBorder="1"/>
    <xf numFmtId="49" fontId="14" fillId="0" borderId="0" xfId="0" applyNumberFormat="1" applyFont="1"/>
    <xf numFmtId="49" fontId="14" fillId="2" borderId="0" xfId="0" applyNumberFormat="1" applyFont="1" applyFill="1"/>
    <xf numFmtId="2" fontId="0" fillId="0" borderId="0" xfId="0" applyNumberFormat="1" applyAlignment="1">
      <alignment wrapText="1"/>
    </xf>
    <xf numFmtId="2" fontId="15" fillId="0" borderId="0" xfId="0" applyNumberFormat="1" applyFont="1" applyAlignment="1">
      <alignment wrapText="1"/>
    </xf>
    <xf numFmtId="4" fontId="1" fillId="2" borderId="0" xfId="386" applyNumberFormat="1" applyFont="1" applyFill="1"/>
    <xf numFmtId="4" fontId="7" fillId="2" borderId="0" xfId="386" applyNumberFormat="1" applyFont="1" applyFill="1"/>
    <xf numFmtId="2" fontId="19" fillId="2" borderId="0" xfId="0" applyNumberFormat="1" applyFont="1" applyFill="1"/>
    <xf numFmtId="164" fontId="0" fillId="0" borderId="0" xfId="384" applyFont="1"/>
    <xf numFmtId="2" fontId="19" fillId="0" borderId="0" xfId="0" applyNumberFormat="1" applyFont="1"/>
    <xf numFmtId="165" fontId="8" fillId="2" borderId="0" xfId="27" applyNumberFormat="1" applyFont="1" applyFill="1" applyBorder="1"/>
    <xf numFmtId="2" fontId="18" fillId="0" borderId="0" xfId="0" applyNumberFormat="1" applyFont="1"/>
    <xf numFmtId="165" fontId="8" fillId="0" borderId="0" xfId="27" applyNumberFormat="1" applyFont="1" applyFill="1" applyBorder="1"/>
    <xf numFmtId="1" fontId="7" fillId="0" borderId="0" xfId="0" applyNumberFormat="1" applyFont="1" applyAlignment="1">
      <alignment horizontal="right"/>
    </xf>
    <xf numFmtId="4" fontId="1" fillId="0" borderId="0" xfId="386" applyNumberFormat="1" applyFont="1" applyFill="1"/>
    <xf numFmtId="4" fontId="7" fillId="0" borderId="0" xfId="386" applyNumberFormat="1" applyFont="1" applyFill="1"/>
    <xf numFmtId="2" fontId="20" fillId="2" borderId="0" xfId="0" applyNumberFormat="1" applyFont="1" applyFill="1"/>
    <xf numFmtId="2" fontId="15" fillId="0" borderId="0" xfId="0" applyNumberFormat="1" applyFont="1" applyAlignment="1">
      <alignment horizontal="left"/>
    </xf>
    <xf numFmtId="49" fontId="21" fillId="0" borderId="0" xfId="0" applyNumberFormat="1" applyFont="1"/>
    <xf numFmtId="2" fontId="21" fillId="3" borderId="0" xfId="0" applyNumberFormat="1" applyFont="1" applyFill="1"/>
    <xf numFmtId="2" fontId="21" fillId="0" borderId="0" xfId="0" applyNumberFormat="1" applyFont="1"/>
    <xf numFmtId="2" fontId="22" fillId="0" borderId="0" xfId="0" applyNumberFormat="1" applyFont="1"/>
    <xf numFmtId="2" fontId="20" fillId="0" borderId="0" xfId="0" applyNumberFormat="1" applyFont="1"/>
    <xf numFmtId="9" fontId="12" fillId="2" borderId="0" xfId="27" applyFont="1" applyFill="1"/>
    <xf numFmtId="166" fontId="0" fillId="0" borderId="0" xfId="0" applyNumberFormat="1"/>
    <xf numFmtId="165" fontId="15" fillId="0" borderId="0" xfId="27" applyNumberFormat="1" applyFont="1" applyBorder="1"/>
    <xf numFmtId="164" fontId="15" fillId="0" borderId="0" xfId="384" applyFont="1"/>
    <xf numFmtId="2" fontId="18" fillId="2" borderId="0" xfId="0" applyNumberFormat="1" applyFont="1" applyFill="1"/>
    <xf numFmtId="165" fontId="23" fillId="2" borderId="0" xfId="27" applyNumberFormat="1" applyFont="1" applyFill="1"/>
    <xf numFmtId="10" fontId="0" fillId="0" borderId="0" xfId="0" applyNumberFormat="1"/>
    <xf numFmtId="10" fontId="7" fillId="0" borderId="0" xfId="0" applyNumberFormat="1" applyFont="1"/>
    <xf numFmtId="10" fontId="6" fillId="3" borderId="0" xfId="0" applyNumberFormat="1" applyFont="1" applyFill="1"/>
    <xf numFmtId="10" fontId="1" fillId="0" borderId="0" xfId="386" applyNumberFormat="1" applyFont="1" applyFill="1"/>
    <xf numFmtId="10" fontId="7" fillId="0" borderId="0" xfId="386" applyNumberFormat="1" applyFont="1" applyFill="1"/>
    <xf numFmtId="9" fontId="12" fillId="0" borderId="0" xfId="386" applyFont="1" applyFill="1"/>
  </cellXfs>
  <cellStyles count="387">
    <cellStyle name="Dziesiętny" xfId="384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/>
    <cellStyle name="Normalny" xfId="0" builtinId="0"/>
    <cellStyle name="Normalny 2" xfId="383" xr:uid="{00000000-0005-0000-0000-00006A000000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Odwiedzone hiperłącze" xfId="352" builtinId="9" hidden="1"/>
    <cellStyle name="Odwiedzone hiperłącze" xfId="353" builtinId="9" hidden="1"/>
    <cellStyle name="Odwiedzone hiperłącze" xfId="354" builtinId="9" hidden="1"/>
    <cellStyle name="Odwiedzone hiperłącze" xfId="355" builtinId="9" hidden="1"/>
    <cellStyle name="Odwiedzone hiperłącze" xfId="356" builtinId="9" hidden="1"/>
    <cellStyle name="Odwiedzone hiperłącze" xfId="357" builtinId="9" hidden="1"/>
    <cellStyle name="Odwiedzone hiperłącze" xfId="358" builtinId="9" hidden="1"/>
    <cellStyle name="Odwiedzone hiperłącze" xfId="359" builtinId="9" hidden="1"/>
    <cellStyle name="Odwiedzone hiperłącze" xfId="360" builtinId="9" hidden="1"/>
    <cellStyle name="Odwiedzone hiperłącze" xfId="361" builtinId="9" hidden="1"/>
    <cellStyle name="Odwiedzone hiperłącze" xfId="362" builtinId="9" hidden="1"/>
    <cellStyle name="Odwiedzone hiperłącze" xfId="363" builtinId="9" hidden="1"/>
    <cellStyle name="Odwiedzone hiperłącze" xfId="364" builtinId="9" hidden="1"/>
    <cellStyle name="Odwiedzone hiperłącze" xfId="365" builtinId="9" hidden="1"/>
    <cellStyle name="Odwiedzone hiperłącze" xfId="366" builtinId="9" hidden="1"/>
    <cellStyle name="Odwiedzone hiperłącze" xfId="367" builtinId="9" hidden="1"/>
    <cellStyle name="Odwiedzone hiperłącze" xfId="368" builtinId="9" hidden="1"/>
    <cellStyle name="Odwiedzone hiperłącze" xfId="369" builtinId="9" hidden="1"/>
    <cellStyle name="Odwiedzone hiperłącze" xfId="370" builtinId="9" hidden="1"/>
    <cellStyle name="Odwiedzone hiperłącze" xfId="371" builtinId="9" hidden="1"/>
    <cellStyle name="Odwiedzone hiperłącze" xfId="372" builtinId="9" hidden="1"/>
    <cellStyle name="Odwiedzone hiperłącze" xfId="373" builtinId="9" hidden="1"/>
    <cellStyle name="Odwiedzone hiperłącze" xfId="374" builtinId="9" hidden="1"/>
    <cellStyle name="Odwiedzone hiperłącze" xfId="375" builtinId="9" hidden="1"/>
    <cellStyle name="Odwiedzone hiperłącze" xfId="376" builtinId="9" hidden="1"/>
    <cellStyle name="Odwiedzone hiperłącze" xfId="377" builtinId="9" hidden="1"/>
    <cellStyle name="Odwiedzone hiperłącze" xfId="378" builtinId="9" hidden="1"/>
    <cellStyle name="Odwiedzone hiperłącze" xfId="379" builtinId="9" hidden="1"/>
    <cellStyle name="Odwiedzone hiperłącze" xfId="380" builtinId="9" hidden="1"/>
    <cellStyle name="Odwiedzone hiperłącze" xfId="381" builtinId="9" hidden="1"/>
    <cellStyle name="Odwiedzone hiperłącze" xfId="382" builtinId="9" hidden="1"/>
    <cellStyle name="Procentowy" xfId="27" builtinId="5"/>
    <cellStyle name="Procentowy 2" xfId="148" xr:uid="{00000000-0005-0000-0000-00007F010000}"/>
    <cellStyle name="Procentowy 2 2" xfId="386" xr:uid="{4AD48225-0BC8-46F3-AD73-4FBCD955BF07}"/>
    <cellStyle name="Procentowy 3" xfId="385" xr:uid="{11283CFB-DAC0-4244-8EBD-D1B985EF46E3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1153</xdr:colOff>
      <xdr:row>6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8303" cy="1358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127000</xdr:rowOff>
    </xdr:from>
    <xdr:to>
      <xdr:col>8</xdr:col>
      <xdr:colOff>622300</xdr:colOff>
      <xdr:row>5</xdr:row>
      <xdr:rowOff>27000</xdr:rowOff>
    </xdr:to>
    <xdr:sp macro="" textlink="">
      <xdr:nvSpPr>
        <xdr:cNvPr id="3" name="Pole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3302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4000" b="1">
              <a:solidFill>
                <a:schemeClr val="bg1"/>
              </a:solidFill>
            </a:rPr>
            <a:t>Spreadsheet </a:t>
          </a:r>
        </a:p>
      </xdr:txBody>
    </xdr:sp>
    <xdr:clientData/>
  </xdr:twoCellAnchor>
  <xdr:twoCellAnchor>
    <xdr:from>
      <xdr:col>2</xdr:col>
      <xdr:colOff>0</xdr:colOff>
      <xdr:row>5</xdr:row>
      <xdr:rowOff>177800</xdr:rowOff>
    </xdr:from>
    <xdr:to>
      <xdr:col>8</xdr:col>
      <xdr:colOff>622300</xdr:colOff>
      <xdr:row>9</xdr:row>
      <xdr:rowOff>77800</xdr:rowOff>
    </xdr:to>
    <xdr:sp macro="" textlink="">
      <xdr:nvSpPr>
        <xdr:cNvPr id="4" name="Pole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300" y="11938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2800">
              <a:solidFill>
                <a:schemeClr val="bg1"/>
              </a:solidFill>
            </a:rPr>
            <a:t>Stan na dzień: 31.12.2022.</a:t>
          </a:r>
        </a:p>
      </xdr:txBody>
    </xdr:sp>
    <xdr:clientData/>
  </xdr:twoCellAnchor>
  <xdr:twoCellAnchor>
    <xdr:from>
      <xdr:col>1</xdr:col>
      <xdr:colOff>25400</xdr:colOff>
      <xdr:row>10</xdr:row>
      <xdr:rowOff>50800</xdr:rowOff>
    </xdr:from>
    <xdr:to>
      <xdr:col>8</xdr:col>
      <xdr:colOff>622300</xdr:colOff>
      <xdr:row>15</xdr:row>
      <xdr:rowOff>154000</xdr:rowOff>
    </xdr:to>
    <xdr:sp macro="" textlink="">
      <xdr:nvSpPr>
        <xdr:cNvPr id="5" name="Pole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600" y="2082800"/>
          <a:ext cx="8280400" cy="7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pl-PL" sz="1050">
              <a:solidFill>
                <a:schemeClr val="tx2"/>
              </a:solidFill>
            </a:rPr>
            <a:t>Niniejszy</a:t>
          </a:r>
          <a:r>
            <a:rPr lang="pl-PL" sz="1050" baseline="0">
              <a:solidFill>
                <a:schemeClr val="tx2"/>
              </a:solidFill>
            </a:rPr>
            <a:t> dokument ma charakter pomocniczy. Zespół relacji inwestorskich LUG S.A. dokłada staranności, aby zawarte w nim dane były dokładne, jednak nie może zagwarantować ich poprawności. Dane w factsheecie są wprowadzone bezpośrednio z opublikowanych raportów okresowych za dany okres, dlatego mogą występować różnice np. pomiędzy sumą danych za cztery kwartały danego roku oraz danymi pochodzącymi z raportu rocznego za ten rok. Podstawowym i głównym źródełem danych na temat LUG S.A., Grupy Kapitałowej LUG S.A., wyników finansowych i danych operacyjnych są dokumenty informacyjne, prospekty emisyjne, raporty okresowe oraz raporty bieżące podawane przez spółkę do publicznej wiadomości za pośrednictwem systemów ESPI i EBI oraz strony internetowej spółki.</a:t>
          </a:r>
          <a:endParaRPr lang="pl-PL" sz="105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UG">
      <a:dk1>
        <a:srgbClr val="000000"/>
      </a:dk1>
      <a:lt1>
        <a:srgbClr val="FFFFFF"/>
      </a:lt1>
      <a:dk2>
        <a:srgbClr val="676767"/>
      </a:dk2>
      <a:lt2>
        <a:srgbClr val="FFFFFF"/>
      </a:lt2>
      <a:accent1>
        <a:srgbClr val="DA241D"/>
      </a:accent1>
      <a:accent2>
        <a:srgbClr val="676767"/>
      </a:accent2>
      <a:accent3>
        <a:srgbClr val="676767"/>
      </a:accent3>
      <a:accent4>
        <a:srgbClr val="919191"/>
      </a:accent4>
      <a:accent5>
        <a:srgbClr val="BBBBBB"/>
      </a:accent5>
      <a:accent6>
        <a:srgbClr val="E0E0E0"/>
      </a:accent6>
      <a:hlink>
        <a:srgbClr val="000000"/>
      </a:hlink>
      <a:folHlink>
        <a:srgbClr val="67676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E36"/>
  <sheetViews>
    <sheetView showGridLines="0" tabSelected="1" workbookViewId="0"/>
  </sheetViews>
  <sheetFormatPr defaultColWidth="10.54296875" defaultRowHeight="15" x14ac:dyDescent="0.25"/>
  <cols>
    <col min="1" max="1" width="3.54296875" customWidth="1"/>
    <col min="2" max="2" width="27.54296875" bestFit="1" customWidth="1"/>
    <col min="3" max="3" width="3.54296875" customWidth="1"/>
    <col min="4" max="4" width="12.54296875" bestFit="1" customWidth="1"/>
    <col min="5" max="5" width="10.36328125" bestFit="1" customWidth="1"/>
  </cols>
  <sheetData>
    <row r="17" spans="2:5" s="18" customFormat="1" ht="15.6" x14ac:dyDescent="0.3">
      <c r="B17" s="18" t="s">
        <v>120</v>
      </c>
    </row>
    <row r="19" spans="2:5" x14ac:dyDescent="0.25">
      <c r="B19" t="s">
        <v>125</v>
      </c>
      <c r="D19" s="21" t="s">
        <v>123</v>
      </c>
      <c r="E19" s="21" t="s">
        <v>124</v>
      </c>
    </row>
    <row r="20" spans="2:5" x14ac:dyDescent="0.25">
      <c r="B20" s="21" t="s">
        <v>41</v>
      </c>
    </row>
    <row r="21" spans="2:5" x14ac:dyDescent="0.25">
      <c r="B21" t="s">
        <v>126</v>
      </c>
      <c r="D21" s="21" t="s">
        <v>123</v>
      </c>
      <c r="E21" s="21" t="s">
        <v>124</v>
      </c>
    </row>
    <row r="22" spans="2:5" x14ac:dyDescent="0.25">
      <c r="B22" s="21" t="s">
        <v>64</v>
      </c>
    </row>
    <row r="23" spans="2:5" x14ac:dyDescent="0.25">
      <c r="B23" s="21" t="s">
        <v>121</v>
      </c>
    </row>
    <row r="24" spans="2:5" x14ac:dyDescent="0.25">
      <c r="B24" s="21" t="s">
        <v>122</v>
      </c>
    </row>
    <row r="26" spans="2:5" ht="15.6" x14ac:dyDescent="0.3">
      <c r="B26" s="18" t="s">
        <v>127</v>
      </c>
    </row>
    <row r="28" spans="2:5" x14ac:dyDescent="0.25">
      <c r="B28" s="22" t="s">
        <v>128</v>
      </c>
      <c r="D28" t="s">
        <v>129</v>
      </c>
    </row>
    <row r="29" spans="2:5" x14ac:dyDescent="0.25">
      <c r="B29" s="22" t="s">
        <v>130</v>
      </c>
      <c r="D29" t="s">
        <v>133</v>
      </c>
    </row>
    <row r="30" spans="2:5" x14ac:dyDescent="0.25">
      <c r="B30" s="22" t="s">
        <v>131</v>
      </c>
      <c r="D30" t="s">
        <v>137</v>
      </c>
    </row>
    <row r="31" spans="2:5" x14ac:dyDescent="0.25">
      <c r="B31" s="22" t="s">
        <v>132</v>
      </c>
      <c r="D31" t="s">
        <v>134</v>
      </c>
    </row>
    <row r="32" spans="2:5" x14ac:dyDescent="0.25">
      <c r="B32" s="22" t="s">
        <v>135</v>
      </c>
      <c r="D32" t="s">
        <v>136</v>
      </c>
    </row>
    <row r="35" spans="2:2" x14ac:dyDescent="0.25">
      <c r="B35" s="60"/>
    </row>
    <row r="36" spans="2:2" x14ac:dyDescent="0.25">
      <c r="B36" s="76"/>
    </row>
  </sheetData>
  <hyperlinks>
    <hyperlink ref="D19" location="R_wyników_Q!A1" display="dane kwartalne" xr:uid="{00000000-0004-0000-0000-000000000000}"/>
    <hyperlink ref="E19" location="R_wyników_FY!A1" display="dane roczne" xr:uid="{00000000-0004-0000-0000-000001000000}"/>
    <hyperlink ref="B20" location="Bilans!A1" display="Bilans" xr:uid="{00000000-0004-0000-0000-000002000000}"/>
    <hyperlink ref="D21" location="Cashflow_Q!A1" display="dane kwartalne" xr:uid="{00000000-0004-0000-0000-000003000000}"/>
    <hyperlink ref="E21" location="Cashflow_FY!A1" display="dane roczne" xr:uid="{00000000-0004-0000-0000-000004000000}"/>
    <hyperlink ref="B22" location="Inwestycje!A1" display="Inwestycje" xr:uid="{00000000-0004-0000-0000-000005000000}"/>
    <hyperlink ref="B23" location="HR!A1" display="Dane na temat zatrudnienia" xr:uid="{00000000-0004-0000-0000-000006000000}"/>
    <hyperlink ref="B24" location="Akcjonariat!A1" display="Akcjonariat" xr:uid="{00000000-0004-0000-0000-000007000000}"/>
  </hyperlink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2"/>
  <sheetViews>
    <sheetView zoomScale="80" zoomScaleNormal="80" workbookViewId="0">
      <pane xSplit="1" ySplit="1" topLeftCell="V2" activePane="bottomRight" state="frozenSplit"/>
      <selection sqref="A1:XFD1"/>
      <selection pane="topRight" activeCell="B1" sqref="B1"/>
      <selection pane="bottomLeft"/>
      <selection pane="bottomRight" activeCell="AC29" sqref="AC29"/>
    </sheetView>
  </sheetViews>
  <sheetFormatPr defaultColWidth="10.54296875" defaultRowHeight="15" x14ac:dyDescent="0.25"/>
  <cols>
    <col min="1" max="1" width="42.54296875" style="30" customWidth="1"/>
    <col min="2" max="10" width="10.54296875" style="1"/>
    <col min="11" max="19" width="10.54296875" style="1" customWidth="1"/>
    <col min="20" max="24" width="10.54296875" style="1"/>
    <col min="25" max="28" width="11.36328125" style="1" customWidth="1"/>
    <col min="29" max="29" width="10.54296875" style="8"/>
    <col min="30" max="32" width="10.54296875" style="3"/>
    <col min="33" max="16384" width="10.54296875" style="1"/>
  </cols>
  <sheetData>
    <row r="1" spans="1:33" s="4" customFormat="1" ht="15.6" x14ac:dyDescent="0.3">
      <c r="A1" s="30" t="s">
        <v>103</v>
      </c>
      <c r="B1" s="28" t="s">
        <v>88</v>
      </c>
      <c r="C1" s="28" t="s">
        <v>89</v>
      </c>
      <c r="D1" s="28" t="s">
        <v>90</v>
      </c>
      <c r="E1" s="28" t="s">
        <v>91</v>
      </c>
      <c r="F1" s="28" t="s">
        <v>92</v>
      </c>
      <c r="G1" s="28" t="s">
        <v>138</v>
      </c>
      <c r="H1" s="28" t="s">
        <v>139</v>
      </c>
      <c r="I1" s="28" t="s">
        <v>143</v>
      </c>
      <c r="J1" s="28" t="s">
        <v>144</v>
      </c>
      <c r="K1" s="28" t="s">
        <v>146</v>
      </c>
      <c r="L1" s="28" t="s">
        <v>148</v>
      </c>
      <c r="M1" s="28" t="s">
        <v>150</v>
      </c>
      <c r="N1" s="28" t="s">
        <v>152</v>
      </c>
      <c r="O1" s="28" t="s">
        <v>154</v>
      </c>
      <c r="P1" s="28" t="s">
        <v>156</v>
      </c>
      <c r="Q1" s="28" t="s">
        <v>158</v>
      </c>
      <c r="R1" s="28" t="s">
        <v>160</v>
      </c>
      <c r="S1" s="28" t="s">
        <v>176</v>
      </c>
      <c r="T1" s="28" t="s">
        <v>178</v>
      </c>
      <c r="U1" s="28" t="s">
        <v>180</v>
      </c>
      <c r="V1" s="28" t="s">
        <v>182</v>
      </c>
      <c r="W1" s="28" t="s">
        <v>184</v>
      </c>
      <c r="X1" s="28" t="s">
        <v>187</v>
      </c>
      <c r="Y1" s="28" t="s">
        <v>190</v>
      </c>
      <c r="Z1" s="28" t="s">
        <v>191</v>
      </c>
      <c r="AA1" s="28" t="s">
        <v>193</v>
      </c>
      <c r="AB1" s="28" t="s">
        <v>197</v>
      </c>
      <c r="AC1" s="35" t="s">
        <v>199</v>
      </c>
      <c r="AD1" s="28" t="s">
        <v>70</v>
      </c>
      <c r="AE1" s="28" t="s">
        <v>69</v>
      </c>
      <c r="AF1" s="28"/>
    </row>
    <row r="2" spans="1:33" s="4" customFormat="1" ht="15.6" x14ac:dyDescent="0.3">
      <c r="A2" s="28" t="s">
        <v>11</v>
      </c>
      <c r="B2" s="28">
        <v>22.048819999999999</v>
      </c>
      <c r="C2" s="28">
        <v>31.13747</v>
      </c>
      <c r="D2" s="28">
        <v>33.396149999999999</v>
      </c>
      <c r="E2" s="28">
        <v>34.274999999999999</v>
      </c>
      <c r="F2" s="28">
        <v>30.470009999999998</v>
      </c>
      <c r="G2" s="28">
        <v>33.31</v>
      </c>
      <c r="H2" s="28">
        <v>39.24</v>
      </c>
      <c r="I2" s="28">
        <v>39.279990000000005</v>
      </c>
      <c r="J2" s="28">
        <v>35</v>
      </c>
      <c r="K2" s="28">
        <v>41.66</v>
      </c>
      <c r="L2" s="28">
        <f>119.6-J2-K2</f>
        <v>42.94</v>
      </c>
      <c r="M2" s="28">
        <v>51.19</v>
      </c>
      <c r="N2" s="28">
        <v>42.05</v>
      </c>
      <c r="O2" s="28">
        <v>40.76</v>
      </c>
      <c r="P2" s="28">
        <v>40.590000000000003</v>
      </c>
      <c r="Q2" s="28">
        <v>45.1</v>
      </c>
      <c r="R2" s="28">
        <v>45.39</v>
      </c>
      <c r="S2" s="28">
        <v>45.120000000000005</v>
      </c>
      <c r="T2" s="28">
        <v>42.2</v>
      </c>
      <c r="U2" s="28">
        <v>50.03</v>
      </c>
      <c r="V2" s="28">
        <v>37.53</v>
      </c>
      <c r="W2" s="28">
        <v>47.39</v>
      </c>
      <c r="X2" s="28">
        <v>58.88000000000001</v>
      </c>
      <c r="Y2" s="28">
        <v>60.12</v>
      </c>
      <c r="Z2" s="28">
        <v>56.97</v>
      </c>
      <c r="AA2" s="28">
        <v>59.74</v>
      </c>
      <c r="AB2" s="28">
        <v>58.26</v>
      </c>
      <c r="AC2" s="35">
        <v>63.5</v>
      </c>
      <c r="AD2" s="41">
        <f>AC2/AB2-1</f>
        <v>8.9941640920013777E-2</v>
      </c>
      <c r="AE2" s="41">
        <f>AC2/Y2-1</f>
        <v>5.622089155023291E-2</v>
      </c>
      <c r="AF2" s="41"/>
    </row>
    <row r="3" spans="1:33" ht="15.6" x14ac:dyDescent="0.3">
      <c r="A3" s="30" t="s">
        <v>93</v>
      </c>
      <c r="B3" s="30">
        <v>9.39</v>
      </c>
      <c r="C3" s="30">
        <v>13.754</v>
      </c>
      <c r="D3" s="30">
        <v>17.039000000000001</v>
      </c>
      <c r="E3" s="30">
        <v>15.42</v>
      </c>
      <c r="F3" s="30">
        <v>12.83620136</v>
      </c>
      <c r="G3" s="30">
        <v>13.89</v>
      </c>
      <c r="H3" s="30">
        <v>16.04</v>
      </c>
      <c r="I3" s="30">
        <v>19.190000000000001</v>
      </c>
      <c r="J3" s="30">
        <v>14.61</v>
      </c>
      <c r="K3" s="30">
        <v>20.98</v>
      </c>
      <c r="L3" s="30">
        <v>24.77</v>
      </c>
      <c r="M3" s="30">
        <v>21.06</v>
      </c>
      <c r="N3" s="30">
        <v>14</v>
      </c>
      <c r="O3" s="30">
        <v>14.5</v>
      </c>
      <c r="P3" s="30">
        <f>19.14-1.74</f>
        <v>17.400000000000002</v>
      </c>
      <c r="Q3" s="30">
        <v>20.9</v>
      </c>
      <c r="R3" s="30">
        <v>12.49</v>
      </c>
      <c r="S3" s="30">
        <v>22.75</v>
      </c>
      <c r="T3" s="63">
        <v>15.33</v>
      </c>
      <c r="U3" s="63">
        <v>18.760000000000005</v>
      </c>
      <c r="V3" s="63">
        <v>14.06</v>
      </c>
      <c r="W3" s="63">
        <v>18.559999999999995</v>
      </c>
      <c r="X3" s="63">
        <v>21.300000000000004</v>
      </c>
      <c r="Y3" s="63">
        <v>27.46</v>
      </c>
      <c r="Z3" s="63">
        <v>22.48</v>
      </c>
      <c r="AA3" s="63">
        <v>23.61</v>
      </c>
      <c r="AB3" s="63">
        <v>29.02</v>
      </c>
      <c r="AC3" s="79">
        <v>33.409999999999997</v>
      </c>
      <c r="AD3" s="44">
        <f>AC3/AB3-1</f>
        <v>0.15127498277050311</v>
      </c>
      <c r="AE3" s="44">
        <f>AC3/Y3-1</f>
        <v>0.21667880553532393</v>
      </c>
      <c r="AF3" s="44"/>
      <c r="AG3" s="4"/>
    </row>
    <row r="4" spans="1:33" s="2" customFormat="1" ht="15.6" x14ac:dyDescent="0.3">
      <c r="A4" s="46" t="s">
        <v>94</v>
      </c>
      <c r="B4" s="45">
        <f t="shared" ref="B4:G4" si="0">B3/B2</f>
        <v>0.42587313062558452</v>
      </c>
      <c r="C4" s="45">
        <f t="shared" si="0"/>
        <v>0.44171861104964533</v>
      </c>
      <c r="D4" s="45">
        <f t="shared" si="0"/>
        <v>0.51020851205902484</v>
      </c>
      <c r="E4" s="46">
        <f t="shared" si="0"/>
        <v>0.44989059080962801</v>
      </c>
      <c r="F4" s="45">
        <f t="shared" si="0"/>
        <v>0.42127329003173947</v>
      </c>
      <c r="G4" s="46">
        <f t="shared" si="0"/>
        <v>0.41699189432602823</v>
      </c>
      <c r="H4" s="46">
        <f t="shared" ref="H4:I4" si="1">H3/H2</f>
        <v>0.40876656472986744</v>
      </c>
      <c r="I4" s="46">
        <f t="shared" si="1"/>
        <v>0.48854391256209584</v>
      </c>
      <c r="J4" s="46">
        <f>J3/J2</f>
        <v>0.41742857142857143</v>
      </c>
      <c r="K4" s="46">
        <f>K3/K2</f>
        <v>0.50360057609217479</v>
      </c>
      <c r="L4" s="46">
        <f>L3/L2</f>
        <v>0.57685142058686545</v>
      </c>
      <c r="M4" s="46">
        <f t="shared" ref="M4:P4" si="2">M3/M2</f>
        <v>0.41140847821840204</v>
      </c>
      <c r="N4" s="46">
        <f t="shared" si="2"/>
        <v>0.33293697978596909</v>
      </c>
      <c r="O4" s="46">
        <f t="shared" si="2"/>
        <v>0.35574092247301276</v>
      </c>
      <c r="P4" s="46">
        <f t="shared" si="2"/>
        <v>0.42867701404286773</v>
      </c>
      <c r="Q4" s="46">
        <f t="shared" ref="Q4:U4" si="3">Q3/Q2</f>
        <v>0.46341463414634143</v>
      </c>
      <c r="R4" s="46">
        <f t="shared" si="3"/>
        <v>0.27517074245428508</v>
      </c>
      <c r="S4" s="46">
        <f t="shared" si="3"/>
        <v>0.50421099290780136</v>
      </c>
      <c r="T4" s="46">
        <f t="shared" si="3"/>
        <v>0.36327014218009479</v>
      </c>
      <c r="U4" s="46">
        <f t="shared" si="3"/>
        <v>0.3749750149910055</v>
      </c>
      <c r="V4" s="46">
        <f t="shared" ref="V4:AC4" si="4">V3/V2</f>
        <v>0.37463362643218756</v>
      </c>
      <c r="W4" s="46">
        <f>W3/W2</f>
        <v>0.39164380671027632</v>
      </c>
      <c r="X4" s="46">
        <f t="shared" ref="X4:AB4" si="5">X3/X2</f>
        <v>0.36175271739130438</v>
      </c>
      <c r="Y4" s="46">
        <f t="shared" si="5"/>
        <v>0.45675316034597474</v>
      </c>
      <c r="Z4" s="46">
        <f t="shared" si="5"/>
        <v>0.39459364577847994</v>
      </c>
      <c r="AA4" s="46">
        <f t="shared" si="5"/>
        <v>0.39521258788081687</v>
      </c>
      <c r="AB4" s="46">
        <f t="shared" si="5"/>
        <v>0.4981119121180913</v>
      </c>
      <c r="AC4" s="47">
        <f t="shared" si="4"/>
        <v>0.5261417322834645</v>
      </c>
      <c r="AD4" s="45">
        <f>AC4-AB4</f>
        <v>2.8029820165373198E-2</v>
      </c>
      <c r="AE4" s="45">
        <f>AC4-Y4</f>
        <v>6.9388571937489762E-2</v>
      </c>
      <c r="AF4" s="45"/>
      <c r="AG4" s="4"/>
    </row>
    <row r="5" spans="1:33" ht="15.6" x14ac:dyDescent="0.3">
      <c r="A5" s="30" t="s">
        <v>95</v>
      </c>
      <c r="B5" s="30">
        <v>12.659000000000001</v>
      </c>
      <c r="C5" s="30">
        <v>17.382999999999999</v>
      </c>
      <c r="D5" s="30">
        <v>16.356999999999999</v>
      </c>
      <c r="E5" s="30">
        <v>18.86</v>
      </c>
      <c r="F5" s="30">
        <v>17.633808640000002</v>
      </c>
      <c r="G5" s="30">
        <v>19.420000000000002</v>
      </c>
      <c r="H5" s="30">
        <v>23.2</v>
      </c>
      <c r="I5" s="30">
        <v>20.09</v>
      </c>
      <c r="J5" s="30">
        <v>20.39</v>
      </c>
      <c r="K5" s="30">
        <v>20.68</v>
      </c>
      <c r="L5" s="30">
        <v>18.170000000000002</v>
      </c>
      <c r="M5" s="30">
        <v>30.130000000000003</v>
      </c>
      <c r="N5" s="30">
        <v>28.05</v>
      </c>
      <c r="O5" s="30">
        <v>26.26</v>
      </c>
      <c r="P5" s="30">
        <f>P2-P3</f>
        <v>23.19</v>
      </c>
      <c r="Q5" s="30">
        <v>24.2</v>
      </c>
      <c r="R5" s="30">
        <v>32.9</v>
      </c>
      <c r="S5" s="30">
        <v>22.370000000000005</v>
      </c>
      <c r="T5" s="63">
        <v>26.87</v>
      </c>
      <c r="U5" s="63">
        <v>31.269999999999996</v>
      </c>
      <c r="V5" s="63">
        <v>23.47</v>
      </c>
      <c r="W5" s="63">
        <v>28.830000000000005</v>
      </c>
      <c r="X5" s="63">
        <v>37.579999999999991</v>
      </c>
      <c r="Y5" s="63">
        <v>32.659999999999997</v>
      </c>
      <c r="Z5" s="63">
        <v>34.49</v>
      </c>
      <c r="AA5" s="63">
        <v>36.130000000000003</v>
      </c>
      <c r="AB5" s="63">
        <v>29.24</v>
      </c>
      <c r="AC5" s="79">
        <v>30.09</v>
      </c>
      <c r="AD5" s="44">
        <f>AC5/AB5-1</f>
        <v>2.9069767441860517E-2</v>
      </c>
      <c r="AE5" s="44">
        <f>AC5/Y5-1</f>
        <v>-7.8689528475198944E-2</v>
      </c>
      <c r="AF5" s="44"/>
      <c r="AG5" s="4"/>
    </row>
    <row r="6" spans="1:33" s="2" customFormat="1" ht="15.6" x14ac:dyDescent="0.3">
      <c r="A6" s="46" t="s">
        <v>96</v>
      </c>
      <c r="B6" s="45">
        <f t="shared" ref="B6:M6" si="6">B5/B2</f>
        <v>0.57413503307660008</v>
      </c>
      <c r="C6" s="45">
        <f t="shared" si="6"/>
        <v>0.55826629459618904</v>
      </c>
      <c r="D6" s="45">
        <f t="shared" si="6"/>
        <v>0.48978699640527423</v>
      </c>
      <c r="E6" s="46">
        <f t="shared" si="6"/>
        <v>0.55025528811086799</v>
      </c>
      <c r="F6" s="45">
        <f t="shared" si="6"/>
        <v>0.5787267099682607</v>
      </c>
      <c r="G6" s="46">
        <f t="shared" si="6"/>
        <v>0.58300810567397177</v>
      </c>
      <c r="H6" s="46">
        <f t="shared" si="6"/>
        <v>0.5912334352701325</v>
      </c>
      <c r="I6" s="46">
        <f t="shared" si="6"/>
        <v>0.51145634202045365</v>
      </c>
      <c r="J6" s="46">
        <f t="shared" si="6"/>
        <v>0.58257142857142863</v>
      </c>
      <c r="K6" s="46">
        <f t="shared" si="6"/>
        <v>0.49639942390782527</v>
      </c>
      <c r="L6" s="46">
        <f t="shared" si="6"/>
        <v>0.42314857941313466</v>
      </c>
      <c r="M6" s="46">
        <f t="shared" si="6"/>
        <v>0.58859152178159801</v>
      </c>
      <c r="N6" s="46">
        <f t="shared" ref="N6:P6" si="7">N5/N2</f>
        <v>0.66706302021403097</v>
      </c>
      <c r="O6" s="46">
        <f t="shared" si="7"/>
        <v>0.6442590775269873</v>
      </c>
      <c r="P6" s="46">
        <f t="shared" si="7"/>
        <v>0.57132298595713227</v>
      </c>
      <c r="Q6" s="46">
        <f t="shared" ref="Q6:U6" si="8">Q5/Q2</f>
        <v>0.53658536585365846</v>
      </c>
      <c r="R6" s="46">
        <f t="shared" si="8"/>
        <v>0.72482925754571492</v>
      </c>
      <c r="S6" s="46">
        <f t="shared" si="8"/>
        <v>0.49578900709219864</v>
      </c>
      <c r="T6" s="46">
        <f t="shared" si="8"/>
        <v>0.63672985781990521</v>
      </c>
      <c r="U6" s="46">
        <f t="shared" si="8"/>
        <v>0.6250249850089945</v>
      </c>
      <c r="V6" s="46">
        <f t="shared" ref="V6" si="9">V5/V2</f>
        <v>0.62536637356781233</v>
      </c>
      <c r="W6" s="46">
        <f t="shared" ref="W6:Y6" si="10">W5/W2</f>
        <v>0.60835619328972368</v>
      </c>
      <c r="X6" s="46">
        <f t="shared" si="10"/>
        <v>0.63824728260869534</v>
      </c>
      <c r="Y6" s="46">
        <f t="shared" si="10"/>
        <v>0.5432468396540252</v>
      </c>
      <c r="Z6" s="46">
        <f>Z5/Z2</f>
        <v>0.60540635422152012</v>
      </c>
      <c r="AA6" s="46">
        <f>AA5/AA2</f>
        <v>0.60478741211918319</v>
      </c>
      <c r="AB6" s="46">
        <f>AB5/AB2</f>
        <v>0.50188808788190864</v>
      </c>
      <c r="AC6" s="47">
        <f>AC5/AC2</f>
        <v>0.47385826771653544</v>
      </c>
      <c r="AD6" s="45">
        <f>AC6-AB6</f>
        <v>-2.8029820165373198E-2</v>
      </c>
      <c r="AE6" s="45">
        <f>AC6-Y6</f>
        <v>-6.9388571937489762E-2</v>
      </c>
      <c r="AF6" s="45"/>
      <c r="AG6" s="4"/>
    </row>
    <row r="7" spans="1:33" ht="15.6" x14ac:dyDescent="0.3">
      <c r="A7" s="30" t="s">
        <v>12</v>
      </c>
      <c r="B7" s="30">
        <v>14.340249999999999</v>
      </c>
      <c r="C7" s="30">
        <v>18.378350000000001</v>
      </c>
      <c r="D7" s="30">
        <v>20.219360000000002</v>
      </c>
      <c r="E7" s="30">
        <v>20.689</v>
      </c>
      <c r="F7" s="30">
        <v>18.545750000000002</v>
      </c>
      <c r="G7" s="30">
        <v>20.45</v>
      </c>
      <c r="H7" s="30">
        <v>21.03</v>
      </c>
      <c r="I7" s="30">
        <v>20.414249999999996</v>
      </c>
      <c r="J7" s="30">
        <v>20.77</v>
      </c>
      <c r="K7" s="30">
        <v>24.17</v>
      </c>
      <c r="L7" s="30">
        <f>67.67-J7-K7</f>
        <v>22.730000000000004</v>
      </c>
      <c r="M7" s="30">
        <v>32.399999999999991</v>
      </c>
      <c r="N7" s="30">
        <v>24.8</v>
      </c>
      <c r="O7" s="30">
        <v>25.48</v>
      </c>
      <c r="P7" s="30">
        <v>24.3</v>
      </c>
      <c r="Q7" s="30">
        <v>31.47</v>
      </c>
      <c r="R7" s="30">
        <v>27.11</v>
      </c>
      <c r="S7" s="30">
        <v>25.68</v>
      </c>
      <c r="T7" s="63">
        <v>25.62</v>
      </c>
      <c r="U7" s="63">
        <v>29.76</v>
      </c>
      <c r="V7" s="63">
        <v>22.06</v>
      </c>
      <c r="W7" s="63">
        <v>26.81</v>
      </c>
      <c r="X7" s="63">
        <v>36.690000000000005</v>
      </c>
      <c r="Y7" s="63">
        <v>40.79</v>
      </c>
      <c r="Z7" s="63">
        <v>35.76</v>
      </c>
      <c r="AA7" s="63">
        <v>36.56</v>
      </c>
      <c r="AB7" s="63">
        <v>36.869999999999997</v>
      </c>
      <c r="AC7" s="79">
        <v>41.1</v>
      </c>
      <c r="AD7" s="40">
        <f>AC7/AB7-1</f>
        <v>0.11472742066720931</v>
      </c>
      <c r="AE7" s="40">
        <f>AC7/Y7-1</f>
        <v>7.5999019367491982E-3</v>
      </c>
      <c r="AF7" s="40"/>
      <c r="AG7" s="4"/>
    </row>
    <row r="8" spans="1:33" s="2" customFormat="1" ht="15.6" x14ac:dyDescent="0.3">
      <c r="A8" s="45" t="s">
        <v>102</v>
      </c>
      <c r="B8" s="45">
        <f t="shared" ref="B8:G8" si="11">B7/B2</f>
        <v>0.65038627917503067</v>
      </c>
      <c r="C8" s="45">
        <f t="shared" si="11"/>
        <v>0.59023260399769151</v>
      </c>
      <c r="D8" s="45">
        <f t="shared" si="11"/>
        <v>0.60543984860530342</v>
      </c>
      <c r="E8" s="46">
        <f t="shared" si="11"/>
        <v>0.60361779722830056</v>
      </c>
      <c r="F8" s="45">
        <f t="shared" si="11"/>
        <v>0.60865585538042166</v>
      </c>
      <c r="G8" s="46">
        <f t="shared" si="11"/>
        <v>0.61392975082557788</v>
      </c>
      <c r="H8" s="46">
        <f t="shared" ref="H8:I8" si="12">H7/H2</f>
        <v>0.53593272171253825</v>
      </c>
      <c r="I8" s="46">
        <f t="shared" si="12"/>
        <v>0.51971118118920079</v>
      </c>
      <c r="J8" s="46">
        <f>J7/J2</f>
        <v>0.59342857142857142</v>
      </c>
      <c r="K8" s="46">
        <f>K7/K2</f>
        <v>0.58017282765242451</v>
      </c>
      <c r="L8" s="46">
        <f>L7/L2</f>
        <v>0.52934326967862144</v>
      </c>
      <c r="M8" s="46">
        <f t="shared" ref="M8:P8" si="13">M7/M2</f>
        <v>0.63293612033600299</v>
      </c>
      <c r="N8" s="46">
        <f t="shared" si="13"/>
        <v>0.58977407847800245</v>
      </c>
      <c r="O8" s="46">
        <f t="shared" si="13"/>
        <v>0.62512266928361138</v>
      </c>
      <c r="P8" s="46">
        <f t="shared" si="13"/>
        <v>0.59866962305986693</v>
      </c>
      <c r="Q8" s="46">
        <f t="shared" ref="Q8:U8" si="14">Q7/Q2</f>
        <v>0.69778270509977824</v>
      </c>
      <c r="R8" s="46">
        <f t="shared" si="14"/>
        <v>0.59726812073143865</v>
      </c>
      <c r="S8" s="46">
        <f t="shared" si="14"/>
        <v>0.56914893617021267</v>
      </c>
      <c r="T8" s="46">
        <f t="shared" si="14"/>
        <v>0.60710900473933649</v>
      </c>
      <c r="U8" s="46">
        <f t="shared" si="14"/>
        <v>0.59484309414351388</v>
      </c>
      <c r="V8" s="46">
        <f t="shared" ref="V8:AC8" si="15">V7/V2</f>
        <v>0.58779642952304823</v>
      </c>
      <c r="W8" s="46">
        <f t="shared" ref="W8:AB8" si="16">W7/W2</f>
        <v>0.56573116691285075</v>
      </c>
      <c r="X8" s="46">
        <f t="shared" si="16"/>
        <v>0.62313179347826086</v>
      </c>
      <c r="Y8" s="46">
        <f t="shared" si="16"/>
        <v>0.67847638057218895</v>
      </c>
      <c r="Z8" s="46">
        <f t="shared" si="16"/>
        <v>0.62769878883622954</v>
      </c>
      <c r="AA8" s="46">
        <f t="shared" si="16"/>
        <v>0.61198526950117171</v>
      </c>
      <c r="AB8" s="46">
        <f t="shared" si="16"/>
        <v>0.63285272914521107</v>
      </c>
      <c r="AC8" s="47">
        <f t="shared" si="15"/>
        <v>0.64724409448818898</v>
      </c>
      <c r="AD8" s="45">
        <f>AC8-AB8</f>
        <v>1.4391365342977913E-2</v>
      </c>
      <c r="AE8" s="45">
        <f>AC8-Y8</f>
        <v>-3.1232286083999972E-2</v>
      </c>
      <c r="AF8" s="45"/>
      <c r="AG8" s="4"/>
    </row>
    <row r="9" spans="1:33" s="4" customFormat="1" ht="15.6" x14ac:dyDescent="0.3">
      <c r="A9" s="28" t="s">
        <v>162</v>
      </c>
      <c r="B9" s="28">
        <v>7.7085699999999999</v>
      </c>
      <c r="C9" s="28">
        <v>12.759119999999999</v>
      </c>
      <c r="D9" s="28">
        <v>13.17679</v>
      </c>
      <c r="E9" s="28">
        <v>13.586</v>
      </c>
      <c r="F9" s="28">
        <v>11.92426</v>
      </c>
      <c r="G9" s="28">
        <v>12.86</v>
      </c>
      <c r="H9" s="28">
        <v>18.21</v>
      </c>
      <c r="I9" s="28">
        <v>18.865739999999995</v>
      </c>
      <c r="J9" s="28">
        <v>14.23</v>
      </c>
      <c r="K9" s="28">
        <v>17.48</v>
      </c>
      <c r="L9" s="28">
        <f>51.92-J9-K9</f>
        <v>20.209999999999997</v>
      </c>
      <c r="M9" s="28">
        <v>18.799999999999994</v>
      </c>
      <c r="N9" s="28">
        <v>17.25</v>
      </c>
      <c r="O9" s="28">
        <v>15.29</v>
      </c>
      <c r="P9" s="28">
        <v>16.29</v>
      </c>
      <c r="Q9" s="28">
        <v>13.62</v>
      </c>
      <c r="R9" s="28">
        <v>18.28</v>
      </c>
      <c r="S9" s="28">
        <v>19.440000000000001</v>
      </c>
      <c r="T9" s="61">
        <v>16.57</v>
      </c>
      <c r="U9" s="61">
        <v>20.27</v>
      </c>
      <c r="V9" s="61">
        <v>15.47</v>
      </c>
      <c r="W9" s="61">
        <v>20.58</v>
      </c>
      <c r="X9" s="61">
        <v>22.190000000000005</v>
      </c>
      <c r="Y9" s="61">
        <v>19.329999999999998</v>
      </c>
      <c r="Z9" s="61">
        <v>21.21</v>
      </c>
      <c r="AA9" s="61">
        <v>23.18</v>
      </c>
      <c r="AB9" s="61">
        <f>AB2-AB7</f>
        <v>21.39</v>
      </c>
      <c r="AC9" s="59">
        <v>22.39</v>
      </c>
      <c r="AD9" s="41">
        <f>AC9/AB9-1</f>
        <v>4.6750818139317474E-2</v>
      </c>
      <c r="AE9" s="41">
        <f>AC9/Y9-1</f>
        <v>0.15830315571650289</v>
      </c>
      <c r="AF9" s="41"/>
    </row>
    <row r="10" spans="1:33" s="26" customFormat="1" ht="15.6" x14ac:dyDescent="0.3">
      <c r="A10" s="46" t="s">
        <v>174</v>
      </c>
      <c r="B10" s="46">
        <f t="shared" ref="B10:G10" si="17">B9/B2</f>
        <v>0.34961372082496933</v>
      </c>
      <c r="C10" s="46">
        <f t="shared" si="17"/>
        <v>0.40976739600230844</v>
      </c>
      <c r="D10" s="46">
        <f t="shared" si="17"/>
        <v>0.39456015139469675</v>
      </c>
      <c r="E10" s="46">
        <f t="shared" si="17"/>
        <v>0.3963822027716995</v>
      </c>
      <c r="F10" s="46">
        <f t="shared" si="17"/>
        <v>0.39134414461957845</v>
      </c>
      <c r="G10" s="46">
        <f t="shared" si="17"/>
        <v>0.38607024917442206</v>
      </c>
      <c r="H10" s="46">
        <f t="shared" ref="H10:M10" si="18">H9/H2</f>
        <v>0.46406727828746175</v>
      </c>
      <c r="I10" s="46">
        <f t="shared" si="18"/>
        <v>0.48028881881079888</v>
      </c>
      <c r="J10" s="46">
        <f t="shared" si="18"/>
        <v>0.40657142857142858</v>
      </c>
      <c r="K10" s="46">
        <f t="shared" si="18"/>
        <v>0.41958713394143066</v>
      </c>
      <c r="L10" s="46">
        <f t="shared" si="18"/>
        <v>0.47065673032137861</v>
      </c>
      <c r="M10" s="46">
        <f t="shared" si="18"/>
        <v>0.36725923031842145</v>
      </c>
      <c r="N10" s="46">
        <f t="shared" ref="N10:P10" si="19">N9/N2</f>
        <v>0.41022592152199766</v>
      </c>
      <c r="O10" s="46">
        <f t="shared" si="19"/>
        <v>0.37512266928361138</v>
      </c>
      <c r="P10" s="46">
        <f t="shared" si="19"/>
        <v>0.40133037694013296</v>
      </c>
      <c r="Q10" s="46">
        <f t="shared" ref="Q10:U10" si="20">Q9/Q2</f>
        <v>0.30199556541019951</v>
      </c>
      <c r="R10" s="46">
        <f t="shared" si="20"/>
        <v>0.40273187926856135</v>
      </c>
      <c r="S10" s="46">
        <f t="shared" si="20"/>
        <v>0.43085106382978722</v>
      </c>
      <c r="T10" s="46">
        <f t="shared" si="20"/>
        <v>0.39265402843601893</v>
      </c>
      <c r="U10" s="46">
        <f t="shared" si="20"/>
        <v>0.40515690585648612</v>
      </c>
      <c r="V10" s="46">
        <f t="shared" ref="V10:AC10" si="21">V9/V2</f>
        <v>0.41220357047695177</v>
      </c>
      <c r="W10" s="46">
        <f t="shared" ref="W10:AB10" si="22">W9/W2</f>
        <v>0.43426883308714914</v>
      </c>
      <c r="X10" s="46">
        <f t="shared" si="22"/>
        <v>0.37686820652173914</v>
      </c>
      <c r="Y10" s="46">
        <f t="shared" si="22"/>
        <v>0.32152361942781105</v>
      </c>
      <c r="Z10" s="46">
        <f t="shared" si="22"/>
        <v>0.37230121116377041</v>
      </c>
      <c r="AA10" s="46">
        <f t="shared" si="22"/>
        <v>0.38801473049882823</v>
      </c>
      <c r="AB10" s="46">
        <f t="shared" si="22"/>
        <v>0.36714727085478888</v>
      </c>
      <c r="AC10" s="80">
        <f t="shared" si="21"/>
        <v>0.35259842519685042</v>
      </c>
      <c r="AD10" s="45">
        <f>AC10-AB10</f>
        <v>-1.4548845657938458E-2</v>
      </c>
      <c r="AE10" s="45">
        <f>AC10-Y10</f>
        <v>3.1074805769039371E-2</v>
      </c>
      <c r="AF10" s="45"/>
      <c r="AG10" s="4"/>
    </row>
    <row r="11" spans="1:33" ht="15.6" x14ac:dyDescent="0.3">
      <c r="A11" s="30" t="s">
        <v>13</v>
      </c>
      <c r="B11" s="30">
        <v>0.39284999999999998</v>
      </c>
      <c r="C11" s="30">
        <v>1.208E-2</v>
      </c>
      <c r="D11" s="30">
        <v>0.66849999999999998</v>
      </c>
      <c r="E11" s="30">
        <v>1.0029999999999999</v>
      </c>
      <c r="F11" s="30">
        <v>0.39810000000000001</v>
      </c>
      <c r="G11" s="30">
        <v>0.27</v>
      </c>
      <c r="H11" s="30">
        <v>0.63</v>
      </c>
      <c r="I11" s="30">
        <v>2.0019</v>
      </c>
      <c r="J11" s="30">
        <v>0.89</v>
      </c>
      <c r="K11" s="30">
        <v>0.32</v>
      </c>
      <c r="L11" s="30">
        <f>1.69-J11-K11</f>
        <v>0.47999999999999993</v>
      </c>
      <c r="M11" s="30">
        <v>1.3499999999999999</v>
      </c>
      <c r="N11" s="30">
        <v>0.44</v>
      </c>
      <c r="O11" s="30">
        <v>0.82</v>
      </c>
      <c r="P11" s="30">
        <v>0.54</v>
      </c>
      <c r="Q11" s="30">
        <v>0.99</v>
      </c>
      <c r="R11" s="30">
        <v>0.36</v>
      </c>
      <c r="S11" s="30">
        <v>1.52</v>
      </c>
      <c r="T11" s="1">
        <v>3.2</v>
      </c>
      <c r="U11" s="1">
        <v>1.1400000000000001</v>
      </c>
      <c r="V11" s="1">
        <v>0.54</v>
      </c>
      <c r="W11" s="1">
        <v>0.46</v>
      </c>
      <c r="X11" s="1">
        <v>1.1000000000000001</v>
      </c>
      <c r="Y11" s="1">
        <v>4.1100000000000003</v>
      </c>
      <c r="Z11" s="1">
        <v>1.1499999999999999</v>
      </c>
      <c r="AA11" s="1">
        <v>0.41</v>
      </c>
      <c r="AB11" s="1">
        <v>0.99</v>
      </c>
      <c r="AC11" s="8">
        <v>2.5299999999999998</v>
      </c>
      <c r="AD11" s="44">
        <f t="shared" ref="AD11:AD12" si="23">AC11/AB11-1</f>
        <v>1.5555555555555554</v>
      </c>
      <c r="AE11" s="44">
        <f t="shared" ref="AE11:AE12" si="24">AC11/Y11-1</f>
        <v>-0.38442822384428232</v>
      </c>
      <c r="AF11" s="44"/>
      <c r="AG11" s="4"/>
    </row>
    <row r="12" spans="1:33" ht="15.6" x14ac:dyDescent="0.3">
      <c r="A12" s="30" t="s">
        <v>14</v>
      </c>
      <c r="B12" s="30">
        <v>5.5493600000000001</v>
      </c>
      <c r="C12" s="30">
        <v>7.50021</v>
      </c>
      <c r="D12" s="30">
        <v>8.3685799999999997</v>
      </c>
      <c r="E12" s="30">
        <v>8.99</v>
      </c>
      <c r="F12" s="30">
        <v>6.9743899999999996</v>
      </c>
      <c r="G12" s="30">
        <v>7.64</v>
      </c>
      <c r="H12" s="30">
        <v>11.76</v>
      </c>
      <c r="I12" s="30">
        <v>9.8556099999999969</v>
      </c>
      <c r="J12" s="30">
        <v>9.5399999999999991</v>
      </c>
      <c r="K12" s="30">
        <v>10.95</v>
      </c>
      <c r="L12" s="30">
        <f>32.73-J12-K12</f>
        <v>12.239999999999998</v>
      </c>
      <c r="M12" s="30">
        <v>10.240000000000002</v>
      </c>
      <c r="N12" s="30">
        <v>10.19</v>
      </c>
      <c r="O12" s="30">
        <v>11.6</v>
      </c>
      <c r="P12" s="30">
        <v>11</v>
      </c>
      <c r="Q12" s="30">
        <v>13.99</v>
      </c>
      <c r="R12" s="30">
        <v>12.05</v>
      </c>
      <c r="S12" s="30">
        <v>12.83</v>
      </c>
      <c r="T12" s="1">
        <v>9.98</v>
      </c>
      <c r="U12" s="1">
        <v>13.01</v>
      </c>
      <c r="V12" s="1">
        <v>9.5399999999999991</v>
      </c>
      <c r="W12" s="1">
        <v>12.43</v>
      </c>
      <c r="X12" s="1">
        <v>14.370000000000005</v>
      </c>
      <c r="Y12" s="1">
        <v>14.35</v>
      </c>
      <c r="Z12" s="1">
        <v>12.76</v>
      </c>
      <c r="AA12" s="1">
        <v>14.9</v>
      </c>
      <c r="AB12" s="1">
        <f>7.64+4.8</f>
        <v>12.44</v>
      </c>
      <c r="AC12" s="79">
        <v>15.51</v>
      </c>
      <c r="AD12" s="40">
        <f t="shared" si="23"/>
        <v>0.24678456591639875</v>
      </c>
      <c r="AE12" s="40">
        <f t="shared" si="24"/>
        <v>8.0836236933797823E-2</v>
      </c>
      <c r="AF12" s="40"/>
      <c r="AG12" s="4"/>
    </row>
    <row r="13" spans="1:33" s="26" customFormat="1" ht="15.6" x14ac:dyDescent="0.3">
      <c r="A13" s="46" t="s">
        <v>72</v>
      </c>
      <c r="B13" s="46">
        <f t="shared" ref="B13:M13" si="25">B12/B2</f>
        <v>0.25168512419258721</v>
      </c>
      <c r="C13" s="46">
        <f t="shared" si="25"/>
        <v>0.24087409799190493</v>
      </c>
      <c r="D13" s="46">
        <f t="shared" si="25"/>
        <v>0.25058517224290822</v>
      </c>
      <c r="E13" s="46">
        <f t="shared" si="25"/>
        <v>0.26229029905178702</v>
      </c>
      <c r="F13" s="46">
        <f t="shared" si="25"/>
        <v>0.22889359077991769</v>
      </c>
      <c r="G13" s="46">
        <f t="shared" si="25"/>
        <v>0.22936055238667064</v>
      </c>
      <c r="H13" s="46">
        <f t="shared" si="25"/>
        <v>0.29969418960244648</v>
      </c>
      <c r="I13" s="46">
        <f t="shared" si="25"/>
        <v>0.25090663210453962</v>
      </c>
      <c r="J13" s="46">
        <f t="shared" si="25"/>
        <v>0.27257142857142852</v>
      </c>
      <c r="K13" s="46">
        <f t="shared" si="25"/>
        <v>0.2628420547287566</v>
      </c>
      <c r="L13" s="46">
        <f t="shared" si="25"/>
        <v>0.28504890544946437</v>
      </c>
      <c r="M13" s="46">
        <f t="shared" si="25"/>
        <v>0.20003907013088498</v>
      </c>
      <c r="N13" s="46">
        <f t="shared" ref="N13:P13" si="26">N12/N2</f>
        <v>0.2423305588585018</v>
      </c>
      <c r="O13" s="46">
        <f t="shared" si="26"/>
        <v>0.28459273797841023</v>
      </c>
      <c r="P13" s="46">
        <f t="shared" si="26"/>
        <v>0.27100271002710025</v>
      </c>
      <c r="Q13" s="46">
        <f t="shared" ref="Q13:U13" si="27">Q12/Q2</f>
        <v>0.31019955654101994</v>
      </c>
      <c r="R13" s="46">
        <f t="shared" si="27"/>
        <v>0.26547697730777703</v>
      </c>
      <c r="S13" s="46">
        <f t="shared" si="27"/>
        <v>0.28435283687943258</v>
      </c>
      <c r="T13" s="26">
        <f t="shared" si="27"/>
        <v>0.23649289099526066</v>
      </c>
      <c r="U13" s="26">
        <f t="shared" si="27"/>
        <v>0.26004397361583048</v>
      </c>
      <c r="V13" s="26">
        <f t="shared" ref="V13:AC13" si="28">V12/V2</f>
        <v>0.25419664268585129</v>
      </c>
      <c r="W13" s="26">
        <f t="shared" ref="W13:AB13" si="29">W12/W2</f>
        <v>0.26229162270521206</v>
      </c>
      <c r="X13" s="26">
        <f t="shared" si="29"/>
        <v>0.24405570652173916</v>
      </c>
      <c r="Y13" s="26">
        <f t="shared" si="29"/>
        <v>0.2386892880904857</v>
      </c>
      <c r="Z13" s="26">
        <f t="shared" si="29"/>
        <v>0.22397753203440407</v>
      </c>
      <c r="AA13" s="26">
        <f t="shared" si="29"/>
        <v>0.24941412788751255</v>
      </c>
      <c r="AB13" s="26">
        <f t="shared" si="29"/>
        <v>0.21352557500858221</v>
      </c>
      <c r="AC13" s="47">
        <f t="shared" si="28"/>
        <v>0.24425196850393702</v>
      </c>
      <c r="AD13" s="45">
        <f>AC13-AB13</f>
        <v>3.0726393495354803E-2</v>
      </c>
      <c r="AE13" s="45">
        <f>AC13-Y13</f>
        <v>5.5626804134513153E-3</v>
      </c>
      <c r="AF13" s="46"/>
      <c r="AG13" s="4"/>
    </row>
    <row r="14" spans="1:33" ht="15.6" x14ac:dyDescent="0.3">
      <c r="A14" s="30" t="s">
        <v>15</v>
      </c>
      <c r="B14" s="30">
        <v>2.9874100000000001</v>
      </c>
      <c r="C14" s="30">
        <v>4.1910499999999997</v>
      </c>
      <c r="D14" s="30">
        <v>2.6489500000000001</v>
      </c>
      <c r="E14" s="30">
        <v>2.8969999999999998</v>
      </c>
      <c r="F14" s="30">
        <v>4.37737</v>
      </c>
      <c r="G14" s="30">
        <v>4.18</v>
      </c>
      <c r="H14" s="30">
        <v>5.0599999999999996</v>
      </c>
      <c r="I14" s="30">
        <v>6.2626300000000006</v>
      </c>
      <c r="J14" s="30">
        <v>4.72</v>
      </c>
      <c r="K14" s="30">
        <v>4.67</v>
      </c>
      <c r="L14" s="30">
        <f>14.88-J14-K14</f>
        <v>5.49</v>
      </c>
      <c r="M14" s="30">
        <v>5.3800000000000026</v>
      </c>
      <c r="N14" s="30">
        <v>5.62</v>
      </c>
      <c r="O14" s="30">
        <v>6.1</v>
      </c>
      <c r="P14" s="30">
        <v>5.2</v>
      </c>
      <c r="Q14" s="30">
        <v>6.21</v>
      </c>
      <c r="R14" s="30">
        <v>5.37</v>
      </c>
      <c r="S14" s="30">
        <v>4.3899999999999997</v>
      </c>
      <c r="T14" s="1">
        <v>5.91</v>
      </c>
      <c r="U14" s="1">
        <v>6.1800000000000006</v>
      </c>
      <c r="V14" s="1">
        <v>5.55</v>
      </c>
      <c r="W14" s="1">
        <v>5.94</v>
      </c>
      <c r="X14" s="1">
        <v>6.35</v>
      </c>
      <c r="Y14" s="1">
        <v>6.83</v>
      </c>
      <c r="Z14" s="1">
        <v>7.05</v>
      </c>
      <c r="AA14" s="1">
        <v>6.07</v>
      </c>
      <c r="AB14" s="1">
        <f>4.54+2.02</f>
        <v>6.5600000000000005</v>
      </c>
      <c r="AC14" s="79">
        <v>7.74</v>
      </c>
      <c r="AD14" s="40">
        <f>AC14/AB14-1</f>
        <v>0.17987804878048785</v>
      </c>
      <c r="AE14" s="40">
        <f>AC14/Y14-1</f>
        <v>0.13323572474377743</v>
      </c>
      <c r="AF14" s="40"/>
      <c r="AG14" s="4"/>
    </row>
    <row r="15" spans="1:33" s="2" customFormat="1" ht="15.6" x14ac:dyDescent="0.3">
      <c r="A15" s="45" t="s">
        <v>73</v>
      </c>
      <c r="B15" s="45">
        <f t="shared" ref="B15:G15" si="30">B14/B2</f>
        <v>0.13549069746136075</v>
      </c>
      <c r="C15" s="45">
        <f t="shared" si="30"/>
        <v>0.13459828303327148</v>
      </c>
      <c r="D15" s="45">
        <f t="shared" si="30"/>
        <v>7.9319023300590041E-2</v>
      </c>
      <c r="E15" s="46">
        <f t="shared" si="30"/>
        <v>8.4522246535375642E-2</v>
      </c>
      <c r="F15" s="45">
        <f t="shared" si="30"/>
        <v>0.14366158724595102</v>
      </c>
      <c r="G15" s="46">
        <f t="shared" si="30"/>
        <v>0.12548784148904232</v>
      </c>
      <c r="H15" s="46">
        <f t="shared" ref="H15:I15" si="31">H14/H2</f>
        <v>0.12895005096839957</v>
      </c>
      <c r="I15" s="46">
        <f t="shared" si="31"/>
        <v>0.15943563122088369</v>
      </c>
      <c r="J15" s="46">
        <f>J14/J2</f>
        <v>0.13485714285714284</v>
      </c>
      <c r="K15" s="46">
        <f>K14/K2</f>
        <v>0.11209793566970716</v>
      </c>
      <c r="L15" s="46">
        <f>L14/L2</f>
        <v>0.12785281788542152</v>
      </c>
      <c r="M15" s="46">
        <f t="shared" ref="M15:P15" si="32">M14/M2</f>
        <v>0.10509865208048452</v>
      </c>
      <c r="N15" s="46">
        <f t="shared" si="32"/>
        <v>0.13365041617122475</v>
      </c>
      <c r="O15" s="46">
        <f t="shared" si="32"/>
        <v>0.14965652600588814</v>
      </c>
      <c r="P15" s="46">
        <f t="shared" si="32"/>
        <v>0.12811037201281103</v>
      </c>
      <c r="Q15" s="46">
        <f t="shared" ref="Q15:U15" si="33">Q14/Q2</f>
        <v>0.1376940133037694</v>
      </c>
      <c r="R15" s="46">
        <f t="shared" si="33"/>
        <v>0.11830799735624586</v>
      </c>
      <c r="S15" s="46">
        <f t="shared" si="33"/>
        <v>9.7296099290780119E-2</v>
      </c>
      <c r="T15" s="26">
        <f t="shared" si="33"/>
        <v>0.14004739336492891</v>
      </c>
      <c r="U15" s="26">
        <f t="shared" si="33"/>
        <v>0.12352588446931842</v>
      </c>
      <c r="V15" s="26">
        <f t="shared" ref="V15:AC15" si="34">V14/V2</f>
        <v>0.14788169464428455</v>
      </c>
      <c r="W15" s="26">
        <f t="shared" ref="W15:AB15" si="35">W14/W2</f>
        <v>0.12534289934585358</v>
      </c>
      <c r="X15" s="26">
        <f t="shared" si="35"/>
        <v>0.10784646739130432</v>
      </c>
      <c r="Y15" s="26">
        <f t="shared" si="35"/>
        <v>0.11360612109115104</v>
      </c>
      <c r="Z15" s="26">
        <f t="shared" si="35"/>
        <v>0.12374934175882044</v>
      </c>
      <c r="AA15" s="26">
        <f t="shared" si="35"/>
        <v>0.101606963508537</v>
      </c>
      <c r="AB15" s="26">
        <f t="shared" si="35"/>
        <v>0.11259869550291797</v>
      </c>
      <c r="AC15" s="9">
        <f t="shared" si="34"/>
        <v>0.12188976377952757</v>
      </c>
      <c r="AD15" s="45">
        <f>AC15-AB15</f>
        <v>9.2910682766095959E-3</v>
      </c>
      <c r="AE15" s="45">
        <f>AC15-Y15</f>
        <v>8.2836426883765302E-3</v>
      </c>
      <c r="AF15" s="45"/>
      <c r="AG15" s="4"/>
    </row>
    <row r="16" spans="1:33" ht="15.6" x14ac:dyDescent="0.3">
      <c r="A16" s="30" t="s">
        <v>19</v>
      </c>
      <c r="B16" s="30">
        <v>4.4339999999999997E-2</v>
      </c>
      <c r="C16" s="30">
        <v>5.2929999999999998E-2</v>
      </c>
      <c r="D16" s="30">
        <v>1.25789</v>
      </c>
      <c r="E16" s="30">
        <v>-0.67600000000000005</v>
      </c>
      <c r="F16" s="30">
        <v>0.26418999999999998</v>
      </c>
      <c r="G16" s="30">
        <v>0.2</v>
      </c>
      <c r="H16" s="30">
        <v>0.3</v>
      </c>
      <c r="I16" s="30">
        <v>1.0358100000000001</v>
      </c>
      <c r="J16" s="30">
        <v>0.05</v>
      </c>
      <c r="K16" s="30">
        <v>0.28999999999999998</v>
      </c>
      <c r="L16" s="30">
        <f>0.65-J16-K16</f>
        <v>0.31</v>
      </c>
      <c r="M16" s="30">
        <v>0.86999999999999988</v>
      </c>
      <c r="N16" s="30">
        <v>0.4</v>
      </c>
      <c r="O16" s="30">
        <v>0.2</v>
      </c>
      <c r="P16" s="30">
        <v>0.1</v>
      </c>
      <c r="Q16" s="30">
        <v>0.31</v>
      </c>
      <c r="R16" s="30">
        <v>0.11</v>
      </c>
      <c r="S16" s="30">
        <v>0.63</v>
      </c>
      <c r="T16" s="1">
        <v>0.28999999999999998</v>
      </c>
      <c r="U16" s="1">
        <v>-1.0000000000000009E-2</v>
      </c>
      <c r="V16" s="1">
        <v>0.34</v>
      </c>
      <c r="W16" s="1">
        <v>0.06</v>
      </c>
      <c r="X16" s="1">
        <v>1.6099999999999997</v>
      </c>
      <c r="Y16" s="1">
        <v>2.06</v>
      </c>
      <c r="Z16" s="1">
        <v>0.28000000000000003</v>
      </c>
      <c r="AA16" s="1">
        <v>0.17</v>
      </c>
      <c r="AB16" s="1">
        <v>0.61</v>
      </c>
      <c r="AC16" s="8">
        <v>0.95</v>
      </c>
      <c r="AD16" s="44">
        <f t="shared" ref="AD16:AD17" si="36">AC16/AB16-1</f>
        <v>0.55737704918032782</v>
      </c>
      <c r="AE16" s="44">
        <f t="shared" ref="AE16:AE17" si="37">AC16/Y16-1</f>
        <v>-0.53883495145631066</v>
      </c>
      <c r="AF16" s="44"/>
      <c r="AG16" s="4"/>
    </row>
    <row r="17" spans="1:33" s="4" customFormat="1" ht="15.6" x14ac:dyDescent="0.3">
      <c r="A17" s="28" t="s">
        <v>74</v>
      </c>
      <c r="B17" s="28">
        <v>0.54974999999999996</v>
      </c>
      <c r="C17" s="28">
        <v>2.0346000000000002</v>
      </c>
      <c r="D17" s="28">
        <v>2.6976900000000001</v>
      </c>
      <c r="E17" s="28">
        <v>4.67</v>
      </c>
      <c r="F17" s="28">
        <v>1.9411799999999999</v>
      </c>
      <c r="G17" s="28">
        <v>2.34</v>
      </c>
      <c r="H17" s="28">
        <v>3</v>
      </c>
      <c r="I17" s="28">
        <v>5.0188200000000016</v>
      </c>
      <c r="J17" s="28">
        <v>2.3199999999999998</v>
      </c>
      <c r="K17" s="28">
        <v>3.49</v>
      </c>
      <c r="L17" s="28">
        <v>4.34</v>
      </c>
      <c r="M17" s="28">
        <v>5.6999999999999993</v>
      </c>
      <c r="N17" s="28">
        <f>1.48+1.98</f>
        <v>3.46</v>
      </c>
      <c r="O17" s="28">
        <v>0.28999999999999998</v>
      </c>
      <c r="P17" s="28">
        <v>2.52</v>
      </c>
      <c r="Q17" s="28">
        <v>-3.66</v>
      </c>
      <c r="R17" s="28">
        <v>3.41</v>
      </c>
      <c r="S17" s="28">
        <v>5.36</v>
      </c>
      <c r="T17" s="4">
        <f>T19+2.44</f>
        <v>6.0299999999999994</v>
      </c>
      <c r="U17" s="4">
        <f>U19+2.54+0.9-0.82+0.13</f>
        <v>4.9799999999999995</v>
      </c>
      <c r="V17" s="4">
        <f>0.57+2.57</f>
        <v>3.1399999999999997</v>
      </c>
      <c r="W17" s="4">
        <v>5.22</v>
      </c>
      <c r="X17" s="4">
        <v>3.12</v>
      </c>
      <c r="Y17" s="4">
        <v>3.12</v>
      </c>
      <c r="Z17" s="4">
        <f>2.27+2.68</f>
        <v>4.95</v>
      </c>
      <c r="AA17" s="4">
        <v>5.45</v>
      </c>
      <c r="AB17" s="4">
        <v>5.65</v>
      </c>
      <c r="AC17" s="7">
        <f>0.72+2.57</f>
        <v>3.29</v>
      </c>
      <c r="AD17" s="41">
        <f t="shared" si="36"/>
        <v>-0.41769911504424784</v>
      </c>
      <c r="AE17" s="41">
        <f t="shared" si="37"/>
        <v>5.4487179487179516E-2</v>
      </c>
      <c r="AF17" s="41"/>
    </row>
    <row r="18" spans="1:33" s="2" customFormat="1" ht="15.6" x14ac:dyDescent="0.3">
      <c r="A18" s="45" t="s">
        <v>172</v>
      </c>
      <c r="B18" s="45">
        <f t="shared" ref="B18:M18" si="38">B17/B2</f>
        <v>2.4933307088542606E-2</v>
      </c>
      <c r="C18" s="45">
        <f t="shared" si="38"/>
        <v>6.5342495713364007E-2</v>
      </c>
      <c r="D18" s="45">
        <f t="shared" si="38"/>
        <v>8.0778472967692388E-2</v>
      </c>
      <c r="E18" s="46">
        <f t="shared" si="38"/>
        <v>0.1362509117432531</v>
      </c>
      <c r="F18" s="45">
        <f t="shared" si="38"/>
        <v>6.3707888510702818E-2</v>
      </c>
      <c r="G18" s="46">
        <f t="shared" si="38"/>
        <v>7.0249174422095453E-2</v>
      </c>
      <c r="H18" s="46">
        <f t="shared" si="38"/>
        <v>7.64525993883792E-2</v>
      </c>
      <c r="I18" s="46">
        <f t="shared" si="38"/>
        <v>0.1277703991268837</v>
      </c>
      <c r="J18" s="46">
        <f t="shared" si="38"/>
        <v>6.6285714285714281E-2</v>
      </c>
      <c r="K18" s="46">
        <f t="shared" si="38"/>
        <v>8.3773403744599143E-2</v>
      </c>
      <c r="L18" s="46">
        <f t="shared" si="38"/>
        <v>0.10107126222636237</v>
      </c>
      <c r="M18" s="46">
        <f t="shared" si="38"/>
        <v>0.11134987302207462</v>
      </c>
      <c r="N18" s="46">
        <f t="shared" ref="N18:P18" si="39">N17/N2</f>
        <v>8.2282996432818084E-2</v>
      </c>
      <c r="O18" s="46">
        <f t="shared" si="39"/>
        <v>7.1148184494602548E-3</v>
      </c>
      <c r="P18" s="46">
        <f t="shared" si="39"/>
        <v>6.2084257206208422E-2</v>
      </c>
      <c r="Q18" s="46">
        <f t="shared" ref="Q18:U18" si="40">Q17/Q2</f>
        <v>-8.1152993348115293E-2</v>
      </c>
      <c r="R18" s="46">
        <f t="shared" si="40"/>
        <v>7.5126679885437322E-2</v>
      </c>
      <c r="S18" s="46">
        <f t="shared" si="40"/>
        <v>0.11879432624113474</v>
      </c>
      <c r="T18" s="26">
        <f t="shared" si="40"/>
        <v>0.14289099526066348</v>
      </c>
      <c r="U18" s="26">
        <f t="shared" si="40"/>
        <v>9.9540275834499287E-2</v>
      </c>
      <c r="V18" s="26">
        <f t="shared" ref="V18:AC18" si="41">V17/V2</f>
        <v>8.3666400213162795E-2</v>
      </c>
      <c r="W18" s="26">
        <f t="shared" ref="W18:AB18" si="42">W17/W2</f>
        <v>0.11014982063726524</v>
      </c>
      <c r="X18" s="26">
        <f t="shared" si="42"/>
        <v>5.2989130434782601E-2</v>
      </c>
      <c r="Y18" s="26">
        <f t="shared" si="42"/>
        <v>5.1896207584830344E-2</v>
      </c>
      <c r="Z18" s="26">
        <f t="shared" si="42"/>
        <v>8.6887835703001584E-2</v>
      </c>
      <c r="AA18" s="26">
        <f t="shared" si="42"/>
        <v>9.1228657515902242E-2</v>
      </c>
      <c r="AB18" s="26">
        <f t="shared" si="42"/>
        <v>9.6979059388946118E-2</v>
      </c>
      <c r="AC18" s="9">
        <f t="shared" si="41"/>
        <v>5.1811023622047245E-2</v>
      </c>
      <c r="AD18" s="45">
        <f>AC18-AB18</f>
        <v>-4.5168035766898873E-2</v>
      </c>
      <c r="AE18" s="45">
        <f>AC18-Y18</f>
        <v>-8.5183962783098865E-5</v>
      </c>
      <c r="AF18" s="45"/>
      <c r="AG18" s="4"/>
    </row>
    <row r="19" spans="1:33" s="4" customFormat="1" ht="15.6" x14ac:dyDescent="0.3">
      <c r="A19" s="28" t="s">
        <v>163</v>
      </c>
      <c r="B19" s="28">
        <v>-0.47969000000000001</v>
      </c>
      <c r="C19" s="28">
        <v>1.02701</v>
      </c>
      <c r="D19" s="28">
        <v>1.5698700000000001</v>
      </c>
      <c r="E19" s="28">
        <v>3.3780000000000001</v>
      </c>
      <c r="F19" s="28">
        <v>0.70640999999999998</v>
      </c>
      <c r="G19" s="28">
        <v>1.1200000000000001</v>
      </c>
      <c r="H19" s="28">
        <v>1.72</v>
      </c>
      <c r="I19" s="28">
        <v>3.7135899999999999</v>
      </c>
      <c r="J19" s="28">
        <v>0.81</v>
      </c>
      <c r="K19" s="28">
        <v>1.89</v>
      </c>
      <c r="L19" s="28">
        <f>5.36-J19-K19</f>
        <v>2.660000000000001</v>
      </c>
      <c r="M19" s="28">
        <v>3.6499999999999986</v>
      </c>
      <c r="N19" s="28">
        <v>1.48</v>
      </c>
      <c r="O19" s="28">
        <v>-1.8</v>
      </c>
      <c r="P19" s="28">
        <v>0.54</v>
      </c>
      <c r="Q19" s="28">
        <v>-5.9</v>
      </c>
      <c r="R19" s="28">
        <v>1.1100000000000001</v>
      </c>
      <c r="S19" s="28">
        <v>3.11</v>
      </c>
      <c r="T19" s="4">
        <v>3.59</v>
      </c>
      <c r="U19" s="4">
        <v>2.23</v>
      </c>
      <c r="V19" s="4">
        <v>0.56999999999999995</v>
      </c>
      <c r="W19" s="4">
        <v>2.62</v>
      </c>
      <c r="X19" s="4">
        <v>0.96000000000000041</v>
      </c>
      <c r="Y19" s="4">
        <v>0.2</v>
      </c>
      <c r="Z19" s="4">
        <v>2.27</v>
      </c>
      <c r="AA19" s="4">
        <v>2.4500000000000002</v>
      </c>
      <c r="AB19" s="4">
        <f>AB9+AB11-AB12-AB14-AB16</f>
        <v>2.7699999999999991</v>
      </c>
      <c r="AC19" s="7">
        <v>0.72</v>
      </c>
      <c r="AD19" s="41">
        <f>AC19/AB19-1</f>
        <v>-0.74007220216606484</v>
      </c>
      <c r="AE19" s="41">
        <f>AC19/Y19-1</f>
        <v>2.5999999999999996</v>
      </c>
      <c r="AF19" s="41"/>
    </row>
    <row r="20" spans="1:33" s="2" customFormat="1" ht="15.6" x14ac:dyDescent="0.3">
      <c r="A20" s="45" t="s">
        <v>171</v>
      </c>
      <c r="B20" s="45">
        <f t="shared" ref="B20:G20" si="43">B19/B2</f>
        <v>-2.1755812782724881E-2</v>
      </c>
      <c r="C20" s="45">
        <f t="shared" si="43"/>
        <v>3.2983090790613366E-2</v>
      </c>
      <c r="D20" s="45">
        <f t="shared" si="43"/>
        <v>4.7007514339227729E-2</v>
      </c>
      <c r="E20" s="46">
        <f t="shared" si="43"/>
        <v>9.8555798687089718E-2</v>
      </c>
      <c r="F20" s="45">
        <f t="shared" si="43"/>
        <v>2.3183779723078529E-2</v>
      </c>
      <c r="G20" s="46">
        <f t="shared" si="43"/>
        <v>3.3623536475532873E-2</v>
      </c>
      <c r="H20" s="46">
        <f t="shared" ref="H20:I20" si="44">H19/H2</f>
        <v>4.383282364933741E-2</v>
      </c>
      <c r="I20" s="46">
        <f t="shared" si="44"/>
        <v>9.4541521013625493E-2</v>
      </c>
      <c r="J20" s="46">
        <f>J19/J2</f>
        <v>2.3142857142857146E-2</v>
      </c>
      <c r="K20" s="46">
        <f>K19/K2</f>
        <v>4.5367258761401824E-2</v>
      </c>
      <c r="L20" s="46">
        <f>L19/L2</f>
        <v>6.1946902654867284E-2</v>
      </c>
      <c r="M20" s="46">
        <f t="shared" ref="M20:P20" si="45">M19/M2</f>
        <v>7.130298886501267E-2</v>
      </c>
      <c r="N20" s="46">
        <f t="shared" si="45"/>
        <v>3.5196195005945306E-2</v>
      </c>
      <c r="O20" s="46">
        <f t="shared" si="45"/>
        <v>-4.416094210009814E-2</v>
      </c>
      <c r="P20" s="46">
        <f t="shared" si="45"/>
        <v>1.3303769401330377E-2</v>
      </c>
      <c r="Q20" s="46">
        <f t="shared" ref="Q20:U20" si="46">Q19/Q2</f>
        <v>-0.13082039911308205</v>
      </c>
      <c r="R20" s="46">
        <f t="shared" si="46"/>
        <v>2.4454725710508926E-2</v>
      </c>
      <c r="S20" s="46">
        <f t="shared" si="46"/>
        <v>6.8927304964538999E-2</v>
      </c>
      <c r="T20" s="26">
        <f t="shared" si="46"/>
        <v>8.5071090047393355E-2</v>
      </c>
      <c r="U20" s="26">
        <f t="shared" si="46"/>
        <v>4.4573256046372176E-2</v>
      </c>
      <c r="V20" s="26">
        <f t="shared" ref="V20:AC20" si="47">V19/V2</f>
        <v>1.518784972022382E-2</v>
      </c>
      <c r="W20" s="26">
        <f t="shared" ref="W20:AB20" si="48">W19/W2</f>
        <v>5.5285925300696349E-2</v>
      </c>
      <c r="X20" s="26">
        <f t="shared" si="48"/>
        <v>1.630434782608696E-2</v>
      </c>
      <c r="Y20" s="26">
        <f t="shared" si="48"/>
        <v>3.3266799733865605E-3</v>
      </c>
      <c r="Z20" s="26">
        <f t="shared" si="48"/>
        <v>3.9845532736528001E-2</v>
      </c>
      <c r="AA20" s="26">
        <f t="shared" si="48"/>
        <v>4.1011047874121194E-2</v>
      </c>
      <c r="AB20" s="26">
        <f t="shared" si="48"/>
        <v>4.7545485753518697E-2</v>
      </c>
      <c r="AC20" s="9">
        <f t="shared" si="47"/>
        <v>1.1338582677165353E-2</v>
      </c>
      <c r="AD20" s="45">
        <f>AC20-AB20</f>
        <v>-3.6206903076353346E-2</v>
      </c>
      <c r="AE20" s="45">
        <f>AC20-Y20</f>
        <v>8.0119027037787935E-3</v>
      </c>
      <c r="AF20" s="45"/>
      <c r="AG20" s="4"/>
    </row>
    <row r="21" spans="1:33" ht="15.6" x14ac:dyDescent="0.3">
      <c r="A21" s="30" t="s">
        <v>16</v>
      </c>
      <c r="B21" s="30">
        <v>5.79E-3</v>
      </c>
      <c r="C21" s="30">
        <v>0.90966999999999998</v>
      </c>
      <c r="D21" s="30">
        <v>-0.11751</v>
      </c>
      <c r="E21" s="30">
        <v>-0.76600000000000001</v>
      </c>
      <c r="F21" s="30">
        <v>0.27355000000000002</v>
      </c>
      <c r="G21" s="30">
        <v>0.55000000000000004</v>
      </c>
      <c r="H21" s="30">
        <v>0.2</v>
      </c>
      <c r="I21" s="30">
        <v>1.12645</v>
      </c>
      <c r="J21" s="30">
        <v>0.41</v>
      </c>
      <c r="K21" s="30">
        <v>0.1</v>
      </c>
      <c r="L21" s="30">
        <v>0</v>
      </c>
      <c r="M21" s="30">
        <v>-0.23999999999999996</v>
      </c>
      <c r="N21" s="30">
        <v>0</v>
      </c>
      <c r="O21" s="30">
        <v>0.1</v>
      </c>
      <c r="P21" s="30">
        <v>1.33</v>
      </c>
      <c r="Q21" s="30">
        <v>1.86</v>
      </c>
      <c r="R21" s="30">
        <v>2.64</v>
      </c>
      <c r="S21" s="30">
        <v>0.13</v>
      </c>
      <c r="T21" s="1">
        <v>0.1</v>
      </c>
      <c r="U21" s="1">
        <f>0.53-2.11-0.14</f>
        <v>-1.7199999999999998</v>
      </c>
      <c r="V21" s="1">
        <v>0.01</v>
      </c>
      <c r="W21" s="1">
        <v>0</v>
      </c>
      <c r="X21" s="1">
        <v>0</v>
      </c>
      <c r="Y21" s="1">
        <v>0.24</v>
      </c>
      <c r="Z21" s="1">
        <v>0.23</v>
      </c>
      <c r="AA21" s="1">
        <v>0.12</v>
      </c>
      <c r="AB21" s="1">
        <v>0.03</v>
      </c>
      <c r="AC21" s="8">
        <v>1.18</v>
      </c>
      <c r="AD21" s="44">
        <f t="shared" ref="AD21:AD26" si="49">AC21/AB21-1</f>
        <v>38.333333333333336</v>
      </c>
      <c r="AE21" s="44">
        <f t="shared" ref="AE21:AE26" si="50">AC21/Y21-1</f>
        <v>3.916666666666667</v>
      </c>
      <c r="AF21" s="44"/>
      <c r="AG21" s="4"/>
    </row>
    <row r="22" spans="1:33" ht="15.6" x14ac:dyDescent="0.3">
      <c r="A22" s="30" t="s">
        <v>17</v>
      </c>
      <c r="B22" s="30">
        <v>0.31764999999999999</v>
      </c>
      <c r="C22" s="30">
        <v>0.45889999999999997</v>
      </c>
      <c r="D22" s="30">
        <v>0.22414999999999999</v>
      </c>
      <c r="E22" s="30">
        <v>0.56599999999999995</v>
      </c>
      <c r="F22" s="30">
        <v>0.15847</v>
      </c>
      <c r="G22" s="30">
        <v>0.18</v>
      </c>
      <c r="H22" s="30">
        <v>0.19</v>
      </c>
      <c r="I22" s="30">
        <v>0.21153</v>
      </c>
      <c r="J22" s="30">
        <v>0.23</v>
      </c>
      <c r="K22" s="30">
        <v>0.26</v>
      </c>
      <c r="L22" s="30">
        <f>0.82-J22-K22+0.26</f>
        <v>0.59</v>
      </c>
      <c r="M22" s="30">
        <v>3.1500000000000004</v>
      </c>
      <c r="N22" s="30">
        <v>0.4</v>
      </c>
      <c r="O22" s="30">
        <v>0.33</v>
      </c>
      <c r="P22" s="30">
        <v>0.78</v>
      </c>
      <c r="Q22" s="30">
        <v>1.05</v>
      </c>
      <c r="R22" s="30">
        <v>0.43</v>
      </c>
      <c r="S22" s="30">
        <v>0.31</v>
      </c>
      <c r="T22" s="1">
        <f>2.05+0.6+0.1</f>
        <v>2.75</v>
      </c>
      <c r="U22" s="1">
        <f>0.21-1.02-0.14</f>
        <v>-0.95000000000000007</v>
      </c>
      <c r="V22" s="1">
        <v>1.05</v>
      </c>
      <c r="W22" s="1">
        <v>0.82</v>
      </c>
      <c r="X22" s="1">
        <v>0.96999999999999986</v>
      </c>
      <c r="Y22" s="1">
        <v>0.25</v>
      </c>
      <c r="Z22" s="1">
        <v>1.2</v>
      </c>
      <c r="AA22" s="1">
        <v>1.7</v>
      </c>
      <c r="AB22" s="1">
        <f>1.75-0.23</f>
        <v>1.52</v>
      </c>
      <c r="AC22" s="8">
        <v>1.74</v>
      </c>
      <c r="AD22" s="44">
        <f t="shared" si="49"/>
        <v>0.14473684210526305</v>
      </c>
      <c r="AE22" s="44">
        <f t="shared" si="50"/>
        <v>5.96</v>
      </c>
      <c r="AF22" s="44"/>
      <c r="AG22" s="4"/>
    </row>
    <row r="23" spans="1:33" ht="15.6" x14ac:dyDescent="0.3">
      <c r="A23" s="30" t="s">
        <v>164</v>
      </c>
      <c r="B23" s="30">
        <v>-0.79154999999999998</v>
      </c>
      <c r="C23" s="30">
        <v>1.4777800000000001</v>
      </c>
      <c r="D23" s="30">
        <v>1.22821</v>
      </c>
      <c r="E23" s="30">
        <v>2.0459999999999998</v>
      </c>
      <c r="F23" s="30">
        <v>0.82149000000000005</v>
      </c>
      <c r="G23" s="30">
        <v>1.49</v>
      </c>
      <c r="H23" s="30">
        <v>1.73</v>
      </c>
      <c r="I23" s="30">
        <v>4.6285100000000003</v>
      </c>
      <c r="J23" s="30">
        <v>0.99</v>
      </c>
      <c r="K23" s="30">
        <v>1.73</v>
      </c>
      <c r="L23" s="30">
        <f>4.79-J23-K23</f>
        <v>2.0699999999999998</v>
      </c>
      <c r="M23" s="30">
        <v>0.25</v>
      </c>
      <c r="N23" s="30">
        <v>1.08</v>
      </c>
      <c r="O23" s="30">
        <v>-2.0299999999999998</v>
      </c>
      <c r="P23" s="30">
        <v>1.08</v>
      </c>
      <c r="Q23" s="30">
        <v>-5.07</v>
      </c>
      <c r="R23" s="30">
        <v>3.3109999999999999</v>
      </c>
      <c r="S23" s="30">
        <v>2.95</v>
      </c>
      <c r="T23" s="1">
        <v>0.94</v>
      </c>
      <c r="U23" s="1">
        <v>1.45</v>
      </c>
      <c r="V23" s="1">
        <v>-0.48</v>
      </c>
      <c r="W23" s="1">
        <v>1.79</v>
      </c>
      <c r="X23" s="1">
        <v>1.0000000000000009E-2</v>
      </c>
      <c r="Y23" s="1">
        <v>0.18</v>
      </c>
      <c r="Z23" s="1">
        <v>1.3</v>
      </c>
      <c r="AA23" s="1">
        <v>0.87</v>
      </c>
      <c r="AB23" s="1">
        <v>0.81</v>
      </c>
      <c r="AC23" s="8">
        <v>0.16</v>
      </c>
      <c r="AD23" s="44">
        <f t="shared" si="49"/>
        <v>-0.80246913580246915</v>
      </c>
      <c r="AE23" s="44">
        <f t="shared" si="50"/>
        <v>-0.11111111111111105</v>
      </c>
      <c r="AF23" s="44"/>
      <c r="AG23" s="4"/>
    </row>
    <row r="24" spans="1:33" ht="15.6" x14ac:dyDescent="0.3">
      <c r="A24" s="30" t="s">
        <v>18</v>
      </c>
      <c r="B24" s="30">
        <v>-3.9579999999999997E-2</v>
      </c>
      <c r="C24" s="30">
        <v>-2.2599999999999999E-3</v>
      </c>
      <c r="D24" s="30">
        <v>4.7910000000000001E-2</v>
      </c>
      <c r="E24" s="30">
        <v>0.82199999999999995</v>
      </c>
      <c r="F24" s="30">
        <v>1.49E-3</v>
      </c>
      <c r="G24" s="30">
        <v>0</v>
      </c>
      <c r="H24" s="30">
        <v>0.03</v>
      </c>
      <c r="I24" s="30">
        <v>1.64</v>
      </c>
      <c r="J24" s="30">
        <v>-0.01</v>
      </c>
      <c r="K24" s="30">
        <v>0.2</v>
      </c>
      <c r="L24" s="30">
        <f>-0.11-J24-K24</f>
        <v>-0.30000000000000004</v>
      </c>
      <c r="M24" s="30">
        <v>1.55</v>
      </c>
      <c r="N24" s="30">
        <v>0.01</v>
      </c>
      <c r="O24" s="30">
        <v>-0.13</v>
      </c>
      <c r="P24" s="30">
        <v>-0.62</v>
      </c>
      <c r="Q24" s="30">
        <v>-0.14000000000000001</v>
      </c>
      <c r="R24" s="30">
        <v>0.53</v>
      </c>
      <c r="S24" s="30">
        <v>0.05</v>
      </c>
      <c r="T24" s="1">
        <v>-0.38</v>
      </c>
      <c r="U24" s="1">
        <v>0.79</v>
      </c>
      <c r="V24" s="1">
        <v>-0.35</v>
      </c>
      <c r="W24" s="1">
        <v>0.76</v>
      </c>
      <c r="X24" s="1">
        <v>-0.22</v>
      </c>
      <c r="Y24" s="1">
        <v>-3.18</v>
      </c>
      <c r="Z24" s="1">
        <v>0.24</v>
      </c>
      <c r="AA24" s="1">
        <v>0.15</v>
      </c>
      <c r="AB24" s="1">
        <v>-7.0000000000000007E-2</v>
      </c>
      <c r="AC24" s="8">
        <v>-0.05</v>
      </c>
      <c r="AD24" s="44">
        <f t="shared" si="49"/>
        <v>-0.2857142857142857</v>
      </c>
      <c r="AE24" s="44">
        <f t="shared" si="50"/>
        <v>-0.98427672955974843</v>
      </c>
      <c r="AF24" s="44"/>
      <c r="AG24" s="4"/>
    </row>
    <row r="25" spans="1:33" ht="15.6" x14ac:dyDescent="0.3">
      <c r="A25" s="30" t="s">
        <v>165</v>
      </c>
      <c r="B25" s="30">
        <v>-0.72724</v>
      </c>
      <c r="C25" s="30">
        <v>1.25088</v>
      </c>
      <c r="D25" s="30">
        <v>1.2783100000000001</v>
      </c>
      <c r="E25" s="30">
        <v>1.224</v>
      </c>
      <c r="F25" s="30">
        <v>0.84189999999999998</v>
      </c>
      <c r="G25" s="30">
        <v>1.3</v>
      </c>
      <c r="H25" s="30">
        <v>1.7</v>
      </c>
      <c r="I25" s="30">
        <v>3.1581000000000001</v>
      </c>
      <c r="J25" s="30">
        <v>1</v>
      </c>
      <c r="K25" s="30">
        <v>1.53</v>
      </c>
      <c r="L25" s="30">
        <f>L23-L24</f>
        <v>2.37</v>
      </c>
      <c r="M25" s="30">
        <v>-1.3</v>
      </c>
      <c r="N25" s="30">
        <v>1.07</v>
      </c>
      <c r="O25" s="30">
        <v>-1.9</v>
      </c>
      <c r="P25" s="30">
        <v>1.71</v>
      </c>
      <c r="Q25" s="30">
        <v>-5.73</v>
      </c>
      <c r="R25" s="30">
        <v>2.78</v>
      </c>
      <c r="S25" s="30">
        <v>2.9</v>
      </c>
      <c r="T25" s="1">
        <v>1.32</v>
      </c>
      <c r="U25" s="1">
        <v>1.5</v>
      </c>
      <c r="V25" s="1">
        <v>-0.13</v>
      </c>
      <c r="W25" s="1">
        <v>1.02</v>
      </c>
      <c r="X25" s="1">
        <v>0.23999999999999977</v>
      </c>
      <c r="Y25" s="1">
        <v>3.36</v>
      </c>
      <c r="Z25" s="1">
        <v>1.06</v>
      </c>
      <c r="AA25" s="1">
        <v>0.72</v>
      </c>
      <c r="AB25" s="1">
        <v>0.88</v>
      </c>
      <c r="AC25" s="8">
        <v>0.21</v>
      </c>
      <c r="AD25" s="44">
        <f t="shared" si="49"/>
        <v>-0.76136363636363635</v>
      </c>
      <c r="AE25" s="44">
        <f t="shared" si="50"/>
        <v>-0.9375</v>
      </c>
      <c r="AF25" s="44"/>
      <c r="AG25" s="4"/>
    </row>
    <row r="26" spans="1:33" s="4" customFormat="1" ht="15.6" x14ac:dyDescent="0.3">
      <c r="A26" s="28" t="s">
        <v>166</v>
      </c>
      <c r="B26" s="28">
        <v>-0.73</v>
      </c>
      <c r="C26" s="28">
        <v>1.25088</v>
      </c>
      <c r="D26" s="28">
        <v>1.2783100000000001</v>
      </c>
      <c r="E26" s="28">
        <v>1.224</v>
      </c>
      <c r="F26" s="28">
        <v>0.84189999999999998</v>
      </c>
      <c r="G26" s="28">
        <v>1.3</v>
      </c>
      <c r="H26" s="28">
        <v>2.12</v>
      </c>
      <c r="I26" s="28">
        <v>2.7381000000000002</v>
      </c>
      <c r="J26" s="28">
        <v>1.1399999999999999</v>
      </c>
      <c r="K26" s="28">
        <v>1.43</v>
      </c>
      <c r="L26" s="28">
        <f>5.01-J26-K26</f>
        <v>2.4400000000000004</v>
      </c>
      <c r="M26" s="28">
        <v>-1.4100000000000004</v>
      </c>
      <c r="N26" s="28">
        <v>1.3</v>
      </c>
      <c r="O26" s="28">
        <v>-2.04</v>
      </c>
      <c r="P26" s="28">
        <v>1.1599999999999999</v>
      </c>
      <c r="Q26" s="28">
        <v>-5.27</v>
      </c>
      <c r="R26" s="28">
        <v>1.91</v>
      </c>
      <c r="S26" s="28">
        <v>2.7</v>
      </c>
      <c r="T26" s="4">
        <v>1.81</v>
      </c>
      <c r="U26" s="4">
        <v>1.23</v>
      </c>
      <c r="V26" s="4">
        <v>0.77</v>
      </c>
      <c r="W26" s="4">
        <v>0.78</v>
      </c>
      <c r="X26" s="4">
        <v>0.74999999999999978</v>
      </c>
      <c r="Y26" s="4">
        <v>2.11</v>
      </c>
      <c r="Z26" s="4">
        <v>0.84</v>
      </c>
      <c r="AA26" s="4">
        <v>0.85</v>
      </c>
      <c r="AB26" s="4">
        <v>0.74299999999999999</v>
      </c>
      <c r="AC26" s="7">
        <v>0.67</v>
      </c>
      <c r="AD26" s="41">
        <f t="shared" si="49"/>
        <v>-9.8250336473755029E-2</v>
      </c>
      <c r="AE26" s="41">
        <f t="shared" si="50"/>
        <v>-0.68246445497630326</v>
      </c>
      <c r="AF26" s="41"/>
    </row>
    <row r="27" spans="1:33" s="2" customFormat="1" ht="15.6" x14ac:dyDescent="0.3">
      <c r="A27" s="48" t="s">
        <v>173</v>
      </c>
      <c r="B27" s="48">
        <f t="shared" ref="B27:M27" si="51">B26/B2</f>
        <v>-3.3108347748314879E-2</v>
      </c>
      <c r="C27" s="48">
        <f t="shared" si="51"/>
        <v>4.0172820720501698E-2</v>
      </c>
      <c r="D27" s="48">
        <f t="shared" si="51"/>
        <v>3.8277166679392689E-2</v>
      </c>
      <c r="E27" s="49">
        <f t="shared" si="51"/>
        <v>3.5711159737417945E-2</v>
      </c>
      <c r="F27" s="48">
        <f t="shared" si="51"/>
        <v>2.7630447118330452E-2</v>
      </c>
      <c r="G27" s="49">
        <f t="shared" si="51"/>
        <v>3.9027319123386368E-2</v>
      </c>
      <c r="H27" s="49">
        <f t="shared" si="51"/>
        <v>5.4026503567787973E-2</v>
      </c>
      <c r="I27" s="49">
        <f t="shared" si="51"/>
        <v>6.9707247888810553E-2</v>
      </c>
      <c r="J27" s="49">
        <f t="shared" si="51"/>
        <v>3.2571428571428571E-2</v>
      </c>
      <c r="K27" s="49">
        <f t="shared" si="51"/>
        <v>3.4325492078732596E-2</v>
      </c>
      <c r="L27" s="49">
        <f t="shared" si="51"/>
        <v>5.6823474615742907E-2</v>
      </c>
      <c r="M27" s="49">
        <f t="shared" si="51"/>
        <v>-2.7544442273881625E-2</v>
      </c>
      <c r="N27" s="49">
        <f t="shared" ref="N27:P27" si="52">N26/N2</f>
        <v>3.0915576694411417E-2</v>
      </c>
      <c r="O27" s="49">
        <f t="shared" si="52"/>
        <v>-5.0049067713444556E-2</v>
      </c>
      <c r="P27" s="49">
        <f t="shared" si="52"/>
        <v>2.8578467602857843E-2</v>
      </c>
      <c r="Q27" s="49">
        <f t="shared" ref="Q27:U27" si="53">Q26/Q2</f>
        <v>-0.11685144124168513</v>
      </c>
      <c r="R27" s="49">
        <f t="shared" si="53"/>
        <v>4.2079753249614452E-2</v>
      </c>
      <c r="S27" s="49">
        <f t="shared" si="53"/>
        <v>5.984042553191489E-2</v>
      </c>
      <c r="T27" s="64">
        <f t="shared" si="53"/>
        <v>4.2890995260663506E-2</v>
      </c>
      <c r="U27" s="64">
        <f t="shared" si="53"/>
        <v>2.4585248850689585E-2</v>
      </c>
      <c r="V27" s="64">
        <f t="shared" ref="V27:AC27" si="54">V26/V2</f>
        <v>2.0516919797495339E-2</v>
      </c>
      <c r="W27" s="64">
        <f t="shared" ref="W27:AB27" si="55">W26/W2</f>
        <v>1.6459168600970669E-2</v>
      </c>
      <c r="X27" s="64">
        <f t="shared" si="55"/>
        <v>1.2737771739130429E-2</v>
      </c>
      <c r="Y27" s="64">
        <f t="shared" si="55"/>
        <v>3.5096473719228208E-2</v>
      </c>
      <c r="Z27" s="64">
        <f t="shared" si="55"/>
        <v>1.474460242232754E-2</v>
      </c>
      <c r="AA27" s="64">
        <f t="shared" si="55"/>
        <v>1.4228322731837963E-2</v>
      </c>
      <c r="AB27" s="64">
        <f t="shared" si="55"/>
        <v>1.2753175420528664E-2</v>
      </c>
      <c r="AC27" s="62">
        <f t="shared" si="54"/>
        <v>1.0551181102362205E-2</v>
      </c>
      <c r="AD27" s="45">
        <f>AC27-AB27</f>
        <v>-2.201994318166459E-3</v>
      </c>
      <c r="AE27" s="45">
        <f>AC27-Y27</f>
        <v>-2.4545292616866003E-2</v>
      </c>
      <c r="AF27" s="45"/>
      <c r="AG27" s="4"/>
    </row>
    <row r="28" spans="1:33" x14ac:dyDescent="0.25">
      <c r="A28" s="69" t="s">
        <v>167</v>
      </c>
      <c r="B28" s="30">
        <v>-0.727746</v>
      </c>
      <c r="C28" s="30">
        <v>1.25088</v>
      </c>
      <c r="D28" s="30">
        <v>1.2783100000000001</v>
      </c>
      <c r="E28" s="30">
        <v>1.208</v>
      </c>
      <c r="F28" s="30">
        <v>0.84189999999999998</v>
      </c>
      <c r="G28" s="30">
        <v>1.3</v>
      </c>
      <c r="H28" s="30">
        <v>2.12</v>
      </c>
      <c r="I28" s="30">
        <v>2.8281000000000001</v>
      </c>
      <c r="J28" s="30">
        <v>1.1399999999999999</v>
      </c>
      <c r="K28" s="30">
        <v>1.43</v>
      </c>
      <c r="L28" s="30">
        <f>L26</f>
        <v>2.4400000000000004</v>
      </c>
      <c r="M28" s="30">
        <v>-0.85999999999999965</v>
      </c>
      <c r="N28" s="30">
        <v>1.3</v>
      </c>
      <c r="O28" s="30">
        <v>-2.04</v>
      </c>
      <c r="P28" s="30">
        <v>1.1599999999999999</v>
      </c>
      <c r="Q28" s="30">
        <v>-6.22</v>
      </c>
      <c r="R28" s="30">
        <v>1.91</v>
      </c>
      <c r="S28" s="30">
        <v>2.7</v>
      </c>
      <c r="T28" s="1">
        <v>1.81</v>
      </c>
      <c r="U28" s="1">
        <v>0.4900000000000001</v>
      </c>
      <c r="V28" s="1">
        <v>0.77</v>
      </c>
      <c r="W28" s="1">
        <v>0.78</v>
      </c>
      <c r="X28" s="1">
        <v>0.75</v>
      </c>
      <c r="Y28" s="1">
        <v>2.11</v>
      </c>
      <c r="Z28" s="1">
        <v>0.84</v>
      </c>
      <c r="AA28" s="1">
        <v>0.85</v>
      </c>
      <c r="AB28" s="1">
        <v>0.74</v>
      </c>
      <c r="AC28" s="8">
        <v>0.67</v>
      </c>
      <c r="AD28" s="44">
        <f t="shared" ref="AD28:AD29" si="56">AC28/AB28-1</f>
        <v>-9.4594594594594517E-2</v>
      </c>
      <c r="AE28" s="44">
        <f t="shared" ref="AE28:AE29" si="57">AC28/Y28-1</f>
        <v>-0.68246445497630326</v>
      </c>
      <c r="AF28" s="44"/>
    </row>
    <row r="29" spans="1:33" x14ac:dyDescent="0.25">
      <c r="A29" s="50" t="s">
        <v>168</v>
      </c>
      <c r="B29" s="50">
        <v>-0.1</v>
      </c>
      <c r="C29" s="50">
        <v>0.17</v>
      </c>
      <c r="D29" s="50">
        <v>0.18</v>
      </c>
      <c r="E29" s="50">
        <v>0.17</v>
      </c>
      <c r="F29" s="50">
        <v>0.12</v>
      </c>
      <c r="G29" s="50">
        <v>0.18</v>
      </c>
      <c r="H29" s="50">
        <v>0.28999999999999998</v>
      </c>
      <c r="I29" s="50">
        <v>0.39999999999999997</v>
      </c>
      <c r="J29" s="50">
        <v>0.16</v>
      </c>
      <c r="K29" s="50">
        <v>0.2</v>
      </c>
      <c r="L29" s="50">
        <v>0.34</v>
      </c>
      <c r="M29" s="50">
        <v>-0.12000000000000011</v>
      </c>
      <c r="N29" s="50">
        <v>0.18</v>
      </c>
      <c r="O29" s="50">
        <v>-0.28000000000000003</v>
      </c>
      <c r="P29" s="50">
        <v>0.16</v>
      </c>
      <c r="Q29" s="50">
        <v>-0.87</v>
      </c>
      <c r="R29" s="50">
        <v>0.27</v>
      </c>
      <c r="S29" s="50">
        <v>0.38</v>
      </c>
      <c r="T29" s="50">
        <v>0.25</v>
      </c>
      <c r="U29" s="50">
        <v>7.0000000000000007E-2</v>
      </c>
      <c r="V29" s="50">
        <v>0.11</v>
      </c>
      <c r="W29" s="50">
        <v>0.11</v>
      </c>
      <c r="X29" s="50">
        <v>0.1</v>
      </c>
      <c r="Y29" s="50">
        <v>0.28999999999999998</v>
      </c>
      <c r="Z29" s="50">
        <v>0.12</v>
      </c>
      <c r="AA29" s="50">
        <v>0.12</v>
      </c>
      <c r="AB29" s="50">
        <v>0.1</v>
      </c>
      <c r="AC29" s="51">
        <v>0.09</v>
      </c>
      <c r="AD29" s="52">
        <f t="shared" si="56"/>
        <v>-0.10000000000000009</v>
      </c>
      <c r="AE29" s="52">
        <f t="shared" si="57"/>
        <v>-0.68965517241379315</v>
      </c>
      <c r="AF29" s="77"/>
    </row>
    <row r="31" spans="1:33" x14ac:dyDescent="0.25">
      <c r="A31" s="78"/>
    </row>
    <row r="32" spans="1:33" x14ac:dyDescent="0.25">
      <c r="J32" s="3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zoomScale="80" zoomScaleNormal="8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N20" sqref="N20"/>
    </sheetView>
  </sheetViews>
  <sheetFormatPr defaultColWidth="10.54296875" defaultRowHeight="15" x14ac:dyDescent="0.25"/>
  <cols>
    <col min="1" max="1" width="54.1796875" style="1" customWidth="1"/>
    <col min="2" max="2" width="10.54296875" style="1" customWidth="1"/>
    <col min="3" max="3" width="10.1796875" style="1" customWidth="1"/>
    <col min="4" max="5" width="10.54296875" style="1" customWidth="1"/>
    <col min="6" max="9" width="10.54296875" style="1"/>
    <col min="10" max="10" width="11.36328125" style="8" bestFit="1" customWidth="1"/>
    <col min="11" max="11" width="10.54296875" style="3"/>
    <col min="12" max="16384" width="10.54296875" style="1"/>
  </cols>
  <sheetData>
    <row r="1" spans="1:11" s="4" customFormat="1" ht="15.6" x14ac:dyDescent="0.3">
      <c r="A1" s="6" t="s">
        <v>103</v>
      </c>
      <c r="B1" s="27">
        <v>2014</v>
      </c>
      <c r="C1" s="27">
        <v>2015</v>
      </c>
      <c r="D1" s="27">
        <v>2016</v>
      </c>
      <c r="E1" s="27">
        <v>2017</v>
      </c>
      <c r="F1" s="27">
        <v>2018</v>
      </c>
      <c r="G1" s="65">
        <v>2019</v>
      </c>
      <c r="H1" s="65">
        <v>2020</v>
      </c>
      <c r="I1" s="65">
        <v>2021</v>
      </c>
      <c r="J1" s="38" t="s">
        <v>200</v>
      </c>
      <c r="K1" s="5" t="s">
        <v>69</v>
      </c>
    </row>
    <row r="2" spans="1:11" s="4" customFormat="1" ht="15.6" x14ac:dyDescent="0.3">
      <c r="A2" s="4" t="s">
        <v>11</v>
      </c>
      <c r="B2" s="4">
        <v>113.88500000000001</v>
      </c>
      <c r="C2" s="4">
        <v>109.581</v>
      </c>
      <c r="D2" s="4">
        <v>120.857</v>
      </c>
      <c r="E2" s="4">
        <v>142.30000000000001</v>
      </c>
      <c r="F2" s="4">
        <v>170.79</v>
      </c>
      <c r="G2" s="4">
        <v>168.5</v>
      </c>
      <c r="H2" s="4">
        <v>182.74</v>
      </c>
      <c r="I2" s="4">
        <v>203.92</v>
      </c>
      <c r="J2" s="68">
        <v>238.47</v>
      </c>
      <c r="K2" s="5">
        <f>J2/I2-1</f>
        <v>0.16942918791683015</v>
      </c>
    </row>
    <row r="3" spans="1:11" x14ac:dyDescent="0.25">
      <c r="A3" s="1" t="s">
        <v>93</v>
      </c>
      <c r="B3" s="1">
        <v>52.167999999999999</v>
      </c>
      <c r="C3" s="1">
        <v>51.484000000000002</v>
      </c>
      <c r="D3" s="1">
        <v>55.6</v>
      </c>
      <c r="E3" s="1">
        <v>61.96</v>
      </c>
      <c r="F3" s="1">
        <v>81.42</v>
      </c>
      <c r="G3" s="1">
        <v>66.8</v>
      </c>
      <c r="H3" s="1">
        <v>69.33</v>
      </c>
      <c r="I3" s="1">
        <v>81.38</v>
      </c>
      <c r="J3" s="8">
        <v>108.52</v>
      </c>
      <c r="K3" s="3">
        <f>J3/I3-1</f>
        <v>0.33349717375276478</v>
      </c>
    </row>
    <row r="4" spans="1:11" s="2" customFormat="1" ht="15.6" x14ac:dyDescent="0.3">
      <c r="A4" s="2" t="s">
        <v>94</v>
      </c>
      <c r="B4" s="26">
        <f t="shared" ref="B4:F4" si="0">B3/B2</f>
        <v>0.45807612942880976</v>
      </c>
      <c r="C4" s="26">
        <f t="shared" si="0"/>
        <v>0.46982597348080418</v>
      </c>
      <c r="D4" s="26">
        <f t="shared" si="0"/>
        <v>0.46004782511563252</v>
      </c>
      <c r="E4" s="36">
        <f t="shared" si="0"/>
        <v>0.43541813070976809</v>
      </c>
      <c r="F4" s="36">
        <f t="shared" si="0"/>
        <v>0.47672580361847888</v>
      </c>
      <c r="G4" s="36">
        <f t="shared" ref="G4:I4" si="1">G3/G2</f>
        <v>0.39643916913946586</v>
      </c>
      <c r="H4" s="36">
        <f t="shared" si="1"/>
        <v>0.37939148517018711</v>
      </c>
      <c r="I4" s="36">
        <f t="shared" si="1"/>
        <v>0.39907806983130639</v>
      </c>
      <c r="J4" s="37">
        <f>J3/J2</f>
        <v>0.4550677234033631</v>
      </c>
      <c r="K4" s="2">
        <f>J4-I4</f>
        <v>5.5989653572056708E-2</v>
      </c>
    </row>
    <row r="5" spans="1:11" x14ac:dyDescent="0.25">
      <c r="A5" s="1" t="s">
        <v>95</v>
      </c>
      <c r="B5" s="1">
        <v>61.716000000000001</v>
      </c>
      <c r="C5" s="1">
        <v>58.097000000000001</v>
      </c>
      <c r="D5" s="1">
        <v>65.257000000000005</v>
      </c>
      <c r="E5" s="1">
        <v>80.34</v>
      </c>
      <c r="F5" s="1">
        <f>88.03+1.34</f>
        <v>89.37</v>
      </c>
      <c r="G5" s="1">
        <v>101.7</v>
      </c>
      <c r="H5" s="1">
        <v>113.41000000000001</v>
      </c>
      <c r="I5" s="1">
        <v>122.54</v>
      </c>
      <c r="J5" s="8">
        <v>129.94999999999999</v>
      </c>
      <c r="K5" s="3">
        <f>J5/I5-1</f>
        <v>6.0470050595723635E-2</v>
      </c>
    </row>
    <row r="6" spans="1:11" s="2" customFormat="1" ht="15.6" x14ac:dyDescent="0.3">
      <c r="A6" s="2" t="s">
        <v>96</v>
      </c>
      <c r="B6" s="26">
        <f t="shared" ref="B6:J6" si="2">B5/B2</f>
        <v>0.54191508978355352</v>
      </c>
      <c r="C6" s="26">
        <f t="shared" si="2"/>
        <v>0.53017402651919587</v>
      </c>
      <c r="D6" s="26">
        <f t="shared" si="2"/>
        <v>0.53995217488436753</v>
      </c>
      <c r="E6" s="36">
        <f t="shared" si="2"/>
        <v>0.56458186929023191</v>
      </c>
      <c r="F6" s="36">
        <f t="shared" si="2"/>
        <v>0.52327419638152117</v>
      </c>
      <c r="G6" s="36">
        <f t="shared" ref="G6:I6" si="3">G5/G2</f>
        <v>0.60356083086053414</v>
      </c>
      <c r="H6" s="36">
        <f t="shared" si="3"/>
        <v>0.62060851482981283</v>
      </c>
      <c r="I6" s="36">
        <f t="shared" si="3"/>
        <v>0.60092193016869366</v>
      </c>
      <c r="J6" s="37">
        <f t="shared" si="2"/>
        <v>0.5449322765966369</v>
      </c>
      <c r="K6" s="2">
        <f>J6-I6</f>
        <v>-5.5989653572056763E-2</v>
      </c>
    </row>
    <row r="7" spans="1:11" x14ac:dyDescent="0.25">
      <c r="A7" s="1" t="s">
        <v>12</v>
      </c>
      <c r="B7" s="1">
        <v>78.638000000000005</v>
      </c>
      <c r="C7" s="1">
        <v>69.656999999999996</v>
      </c>
      <c r="D7" s="1">
        <v>73.626999999999995</v>
      </c>
      <c r="E7" s="1">
        <v>80.44</v>
      </c>
      <c r="F7" s="1">
        <v>100.07</v>
      </c>
      <c r="G7" s="1">
        <v>106.05</v>
      </c>
      <c r="H7" s="1">
        <v>108.17</v>
      </c>
      <c r="I7" s="1">
        <v>126.35</v>
      </c>
      <c r="J7" s="8">
        <v>150.29</v>
      </c>
      <c r="K7" s="3">
        <f>J7/I7-1</f>
        <v>0.18947368421052624</v>
      </c>
    </row>
    <row r="8" spans="1:11" s="2" customFormat="1" ht="15.6" x14ac:dyDescent="0.3">
      <c r="A8" s="2" t="s">
        <v>102</v>
      </c>
      <c r="B8" s="26">
        <f t="shared" ref="B8:J8" si="4">B7/B2</f>
        <v>0.69050357817096197</v>
      </c>
      <c r="C8" s="26">
        <f t="shared" si="4"/>
        <v>0.63566676704903213</v>
      </c>
      <c r="D8" s="26">
        <f t="shared" si="4"/>
        <v>0.60920757589547969</v>
      </c>
      <c r="E8" s="26">
        <f t="shared" si="4"/>
        <v>0.56528460997891772</v>
      </c>
      <c r="F8" s="26">
        <f t="shared" si="4"/>
        <v>0.58592423443995545</v>
      </c>
      <c r="G8" s="26">
        <f t="shared" ref="G8:I8" si="5">G7/G2</f>
        <v>0.62937685459940651</v>
      </c>
      <c r="H8" s="26">
        <f t="shared" si="5"/>
        <v>0.59193389515158146</v>
      </c>
      <c r="I8" s="26">
        <f t="shared" si="5"/>
        <v>0.61960572773636724</v>
      </c>
      <c r="J8" s="9">
        <f t="shared" si="4"/>
        <v>0.63022602423784957</v>
      </c>
      <c r="K8" s="2">
        <f>J8-I8</f>
        <v>1.0620296501482329E-2</v>
      </c>
    </row>
    <row r="9" spans="1:11" s="4" customFormat="1" ht="15.6" x14ac:dyDescent="0.3">
      <c r="A9" s="4" t="s">
        <v>162</v>
      </c>
      <c r="B9" s="4">
        <v>35.246000000000002</v>
      </c>
      <c r="C9" s="4">
        <v>39.923999999999999</v>
      </c>
      <c r="D9" s="4">
        <v>47.23</v>
      </c>
      <c r="E9" s="4">
        <v>61.86</v>
      </c>
      <c r="F9" s="4">
        <v>70.72</v>
      </c>
      <c r="G9" s="4">
        <v>62.45</v>
      </c>
      <c r="H9" s="4">
        <v>74.56</v>
      </c>
      <c r="I9" s="4">
        <v>77.569999999999993</v>
      </c>
      <c r="J9" s="7">
        <v>88.17</v>
      </c>
      <c r="K9" s="5">
        <f>J9/I9-1</f>
        <v>0.13665076704911705</v>
      </c>
    </row>
    <row r="10" spans="1:11" s="2" customFormat="1" ht="15.6" x14ac:dyDescent="0.3">
      <c r="A10" s="2" t="s">
        <v>174</v>
      </c>
      <c r="B10" s="26">
        <f t="shared" ref="B10:F10" si="6">B9/B2</f>
        <v>0.30948764104140142</v>
      </c>
      <c r="C10" s="26">
        <f t="shared" si="6"/>
        <v>0.36433323295096776</v>
      </c>
      <c r="D10" s="26">
        <f t="shared" si="6"/>
        <v>0.3907924241045202</v>
      </c>
      <c r="E10" s="26">
        <f t="shared" si="6"/>
        <v>0.43471539002108217</v>
      </c>
      <c r="F10" s="26">
        <f t="shared" si="6"/>
        <v>0.4140757655600445</v>
      </c>
      <c r="G10" s="26">
        <f t="shared" ref="G10" si="7">G9/G2</f>
        <v>0.37062314540059349</v>
      </c>
      <c r="H10" s="26">
        <f>H9/H2</f>
        <v>0.40801138229178069</v>
      </c>
      <c r="I10" s="26">
        <f>I9/I2</f>
        <v>0.38039427226363276</v>
      </c>
      <c r="J10" s="9">
        <f>J9/J2</f>
        <v>0.3697320417662599</v>
      </c>
      <c r="K10" s="2">
        <f>J10-I10</f>
        <v>-1.066223049737286E-2</v>
      </c>
    </row>
    <row r="11" spans="1:11" x14ac:dyDescent="0.25">
      <c r="A11" s="1" t="s">
        <v>13</v>
      </c>
      <c r="B11" s="1">
        <v>3.5270000000000001</v>
      </c>
      <c r="C11" s="1">
        <v>1.9239999999999999</v>
      </c>
      <c r="D11" s="1">
        <v>2.077</v>
      </c>
      <c r="E11" s="1">
        <v>3.3</v>
      </c>
      <c r="F11" s="1">
        <v>3.04</v>
      </c>
      <c r="G11" s="1">
        <v>2.79</v>
      </c>
      <c r="H11" s="1">
        <v>6.22</v>
      </c>
      <c r="I11" s="1">
        <v>6.21</v>
      </c>
      <c r="J11" s="8">
        <v>5.08</v>
      </c>
      <c r="K11" s="3">
        <f t="shared" ref="K11:K12" si="8">J11/I11-1</f>
        <v>-0.18196457326892113</v>
      </c>
    </row>
    <row r="12" spans="1:11" x14ac:dyDescent="0.25">
      <c r="A12" s="1" t="s">
        <v>14</v>
      </c>
      <c r="B12" s="1">
        <v>20.65</v>
      </c>
      <c r="C12" s="1">
        <v>22.696000000000002</v>
      </c>
      <c r="D12" s="1">
        <v>30.015999999999998</v>
      </c>
      <c r="E12" s="1">
        <v>36.229999999999997</v>
      </c>
      <c r="F12" s="1">
        <v>42.97</v>
      </c>
      <c r="G12" s="1">
        <v>46.78</v>
      </c>
      <c r="H12" s="1">
        <v>47.87</v>
      </c>
      <c r="I12" s="1">
        <v>50.69</v>
      </c>
      <c r="J12" s="8">
        <v>55.61</v>
      </c>
      <c r="K12" s="3">
        <f t="shared" si="8"/>
        <v>9.7060564213848899E-2</v>
      </c>
    </row>
    <row r="13" spans="1:11" s="2" customFormat="1" ht="15.6" x14ac:dyDescent="0.3">
      <c r="A13" s="2" t="s">
        <v>72</v>
      </c>
      <c r="B13" s="26">
        <f t="shared" ref="B13:J13" si="9">B12/B2</f>
        <v>0.18132326469684329</v>
      </c>
      <c r="C13" s="26">
        <f t="shared" si="9"/>
        <v>0.20711619715096596</v>
      </c>
      <c r="D13" s="26">
        <f t="shared" si="9"/>
        <v>0.24835963163077024</v>
      </c>
      <c r="E13" s="26">
        <f t="shared" si="9"/>
        <v>0.25460295151089246</v>
      </c>
      <c r="F13" s="26">
        <f t="shared" si="9"/>
        <v>0.25159552667017976</v>
      </c>
      <c r="G13" s="26">
        <f t="shared" ref="G13:I13" si="10">G12/G2</f>
        <v>0.27762611275964394</v>
      </c>
      <c r="H13" s="26">
        <f t="shared" si="10"/>
        <v>0.26195687862536937</v>
      </c>
      <c r="I13" s="26">
        <f t="shared" si="10"/>
        <v>0.24857787367595136</v>
      </c>
      <c r="J13" s="9">
        <f t="shared" si="9"/>
        <v>0.23319495114689479</v>
      </c>
      <c r="K13" s="2">
        <f>J13-I13</f>
        <v>-1.538292252905657E-2</v>
      </c>
    </row>
    <row r="14" spans="1:11" x14ac:dyDescent="0.25">
      <c r="A14" s="1" t="s">
        <v>15</v>
      </c>
      <c r="B14" s="1">
        <v>11.872999999999999</v>
      </c>
      <c r="C14" s="1">
        <v>13.265000000000001</v>
      </c>
      <c r="D14" s="1">
        <v>13.116</v>
      </c>
      <c r="E14" s="1">
        <v>19.88</v>
      </c>
      <c r="F14" s="1">
        <v>20.260000000000002</v>
      </c>
      <c r="G14" s="1">
        <v>23.13</v>
      </c>
      <c r="H14" s="1">
        <v>21.85</v>
      </c>
      <c r="I14" s="1">
        <v>24.67</v>
      </c>
      <c r="J14" s="8">
        <v>27.42</v>
      </c>
      <c r="K14" s="3">
        <f>J14/I14-1</f>
        <v>0.11147142278070521</v>
      </c>
    </row>
    <row r="15" spans="1:11" s="2" customFormat="1" ht="15.6" x14ac:dyDescent="0.3">
      <c r="A15" s="2" t="s">
        <v>73</v>
      </c>
      <c r="B15" s="26">
        <f t="shared" ref="B15:J15" si="11">B14/B2</f>
        <v>0.1042542916099574</v>
      </c>
      <c r="C15" s="26">
        <f t="shared" si="11"/>
        <v>0.12105200719102764</v>
      </c>
      <c r="D15" s="26">
        <f t="shared" si="11"/>
        <v>0.10852495097511936</v>
      </c>
      <c r="E15" s="26">
        <f t="shared" si="11"/>
        <v>0.13970484891075191</v>
      </c>
      <c r="F15" s="26">
        <f t="shared" si="11"/>
        <v>0.11862521224896072</v>
      </c>
      <c r="G15" s="26">
        <f t="shared" ref="G15:I15" si="12">G14/G2</f>
        <v>0.1372700296735905</v>
      </c>
      <c r="H15" s="26">
        <f t="shared" si="12"/>
        <v>0.11956878625369377</v>
      </c>
      <c r="I15" s="26">
        <f t="shared" si="12"/>
        <v>0.12097881522165557</v>
      </c>
      <c r="J15" s="9">
        <f t="shared" si="11"/>
        <v>0.11498301673166436</v>
      </c>
      <c r="K15" s="2">
        <f>J15-I15</f>
        <v>-5.9957984899912109E-3</v>
      </c>
    </row>
    <row r="16" spans="1:11" x14ac:dyDescent="0.25">
      <c r="A16" s="1" t="s">
        <v>19</v>
      </c>
      <c r="B16" s="1">
        <v>1.2</v>
      </c>
      <c r="C16" s="1">
        <v>1.1339999999999999</v>
      </c>
      <c r="D16" s="1">
        <v>0.67900000000000005</v>
      </c>
      <c r="E16" s="1">
        <v>1.8</v>
      </c>
      <c r="F16" s="1">
        <v>1.52</v>
      </c>
      <c r="G16" s="1">
        <v>1.01</v>
      </c>
      <c r="H16" s="1">
        <v>1.02</v>
      </c>
      <c r="I16" s="1">
        <v>4.07</v>
      </c>
      <c r="J16" s="8">
        <v>2.0099999999999998</v>
      </c>
      <c r="K16" s="3">
        <f t="shared" ref="K16:K17" si="13">J16/I16-1</f>
        <v>-0.50614250614250622</v>
      </c>
    </row>
    <row r="17" spans="1:11" s="4" customFormat="1" ht="15.6" x14ac:dyDescent="0.3">
      <c r="A17" s="4" t="s">
        <v>74</v>
      </c>
      <c r="B17" s="4">
        <v>8.4280000000000008</v>
      </c>
      <c r="C17" s="4">
        <v>8.36</v>
      </c>
      <c r="D17" s="4">
        <v>9.9489999999999998</v>
      </c>
      <c r="E17" s="4">
        <v>12.3</v>
      </c>
      <c r="F17" s="4">
        <f>F19+6.84</f>
        <v>15.85</v>
      </c>
      <c r="G17" s="4">
        <v>2.61</v>
      </c>
      <c r="H17" s="4">
        <f>H19+9.74</f>
        <v>19.78</v>
      </c>
      <c r="I17" s="4">
        <f>4.35+10.25</f>
        <v>14.6</v>
      </c>
      <c r="J17" s="7">
        <v>19.34</v>
      </c>
      <c r="K17" s="5">
        <f t="shared" si="13"/>
        <v>0.3246575342465754</v>
      </c>
    </row>
    <row r="18" spans="1:11" s="2" customFormat="1" ht="15.6" x14ac:dyDescent="0.3">
      <c r="A18" s="2" t="s">
        <v>172</v>
      </c>
      <c r="B18" s="26">
        <f t="shared" ref="B18:J18" si="14">B17/B2</f>
        <v>7.4004478201694701E-2</v>
      </c>
      <c r="C18" s="26">
        <f t="shared" si="14"/>
        <v>7.6290597822615228E-2</v>
      </c>
      <c r="D18" s="26">
        <f t="shared" si="14"/>
        <v>8.2320428274737914E-2</v>
      </c>
      <c r="E18" s="26">
        <f t="shared" si="14"/>
        <v>8.6437104708362605E-2</v>
      </c>
      <c r="F18" s="26">
        <f t="shared" si="14"/>
        <v>9.2804028338895728E-2</v>
      </c>
      <c r="G18" s="26">
        <f t="shared" ref="G18:I18" si="15">G17/G2</f>
        <v>1.5489614243323442E-2</v>
      </c>
      <c r="H18" s="26">
        <f t="shared" si="15"/>
        <v>0.10824121702965962</v>
      </c>
      <c r="I18" s="26">
        <f t="shared" si="15"/>
        <v>7.1596704590035309E-2</v>
      </c>
      <c r="J18" s="9">
        <f t="shared" si="14"/>
        <v>8.1100348052165885E-2</v>
      </c>
      <c r="K18" s="2">
        <f>J18-I18</f>
        <v>9.503643462130576E-3</v>
      </c>
    </row>
    <row r="19" spans="1:11" s="4" customFormat="1" ht="15.6" x14ac:dyDescent="0.3">
      <c r="A19" s="4" t="s">
        <v>163</v>
      </c>
      <c r="B19" s="4">
        <v>5.05</v>
      </c>
      <c r="C19" s="4">
        <v>4.7530000000000001</v>
      </c>
      <c r="D19" s="4">
        <v>5.4950000000000001</v>
      </c>
      <c r="E19" s="4">
        <v>7.26</v>
      </c>
      <c r="F19" s="4">
        <v>9.01</v>
      </c>
      <c r="G19" s="4">
        <v>-5.68</v>
      </c>
      <c r="H19" s="4">
        <v>10.039999999999999</v>
      </c>
      <c r="I19" s="4">
        <v>4.3499999999999996</v>
      </c>
      <c r="J19" s="7">
        <v>8.2100000000000009</v>
      </c>
      <c r="K19" s="5">
        <f>J19/I19-1</f>
        <v>0.88735632183908075</v>
      </c>
    </row>
    <row r="20" spans="1:11" s="2" customFormat="1" ht="15.6" x14ac:dyDescent="0.3">
      <c r="A20" s="2" t="s">
        <v>171</v>
      </c>
      <c r="B20" s="26">
        <f t="shared" ref="B20:J20" si="16">B19/B2</f>
        <v>4.4342977565087587E-2</v>
      </c>
      <c r="C20" s="26">
        <f t="shared" si="16"/>
        <v>4.3374307589819402E-2</v>
      </c>
      <c r="D20" s="26">
        <f t="shared" si="16"/>
        <v>4.5466956816733829E-2</v>
      </c>
      <c r="E20" s="26">
        <f t="shared" si="16"/>
        <v>5.1018973998594515E-2</v>
      </c>
      <c r="F20" s="26">
        <f t="shared" si="16"/>
        <v>5.2754845131447979E-2</v>
      </c>
      <c r="G20" s="26">
        <f t="shared" ref="G20:I20" si="17">G19/G2</f>
        <v>-3.3709198813056375E-2</v>
      </c>
      <c r="H20" s="26">
        <f t="shared" si="17"/>
        <v>5.4941446864397496E-2</v>
      </c>
      <c r="I20" s="26">
        <f t="shared" si="17"/>
        <v>2.1331894860729696E-2</v>
      </c>
      <c r="J20" s="9">
        <f t="shared" si="16"/>
        <v>3.4427810626074563E-2</v>
      </c>
      <c r="K20" s="2">
        <f>J20-I20</f>
        <v>1.3095915765344867E-2</v>
      </c>
    </row>
    <row r="21" spans="1:11" x14ac:dyDescent="0.25">
      <c r="A21" s="1" t="s">
        <v>16</v>
      </c>
      <c r="B21" s="1">
        <v>0.23100000000000001</v>
      </c>
      <c r="C21" s="1">
        <v>0.14099999999999999</v>
      </c>
      <c r="D21" s="1">
        <v>3.2000000000000001E-2</v>
      </c>
      <c r="E21" s="1">
        <v>2.15</v>
      </c>
      <c r="F21" s="1">
        <v>0.27</v>
      </c>
      <c r="G21" s="1">
        <v>3.29</v>
      </c>
      <c r="H21" s="1">
        <v>1.1499999999999999</v>
      </c>
      <c r="I21" s="1">
        <v>0.25</v>
      </c>
      <c r="J21" s="8">
        <v>1.34</v>
      </c>
      <c r="K21" s="3">
        <f t="shared" ref="K21:K26" si="18">J21/I21-1</f>
        <v>4.3600000000000003</v>
      </c>
    </row>
    <row r="22" spans="1:11" x14ac:dyDescent="0.25">
      <c r="A22" s="1" t="s">
        <v>17</v>
      </c>
      <c r="B22" s="1">
        <v>1.4119999999999999</v>
      </c>
      <c r="C22" s="1">
        <v>0.752</v>
      </c>
      <c r="D22" s="1">
        <v>1.5669999999999999</v>
      </c>
      <c r="E22" s="1">
        <v>0.75</v>
      </c>
      <c r="F22" s="1">
        <v>4.2300000000000004</v>
      </c>
      <c r="G22" s="1">
        <v>2.56</v>
      </c>
      <c r="H22" s="1">
        <v>2.54</v>
      </c>
      <c r="I22" s="1">
        <v>3.09</v>
      </c>
      <c r="J22" s="8">
        <v>6.4</v>
      </c>
      <c r="K22" s="3">
        <f t="shared" si="18"/>
        <v>1.0711974110032365</v>
      </c>
    </row>
    <row r="23" spans="1:11" x14ac:dyDescent="0.25">
      <c r="A23" s="1" t="s">
        <v>164</v>
      </c>
      <c r="B23" s="1">
        <v>3.8690000000000002</v>
      </c>
      <c r="C23" s="1">
        <v>4.1429999999999998</v>
      </c>
      <c r="D23" s="1">
        <v>3.9609999999999999</v>
      </c>
      <c r="E23" s="1">
        <v>8.67</v>
      </c>
      <c r="F23" s="1">
        <v>5.04</v>
      </c>
      <c r="G23" s="1">
        <v>-4.9400000000000004</v>
      </c>
      <c r="H23" s="1">
        <v>8.64</v>
      </c>
      <c r="I23" s="1">
        <v>1.5</v>
      </c>
      <c r="J23" s="8">
        <v>3.14</v>
      </c>
      <c r="K23" s="3">
        <f t="shared" si="18"/>
        <v>1.0933333333333333</v>
      </c>
    </row>
    <row r="24" spans="1:11" x14ac:dyDescent="0.25">
      <c r="A24" s="1" t="s">
        <v>18</v>
      </c>
      <c r="B24" s="1">
        <v>0.35699999999999998</v>
      </c>
      <c r="C24" s="1">
        <v>1.169</v>
      </c>
      <c r="D24" s="1">
        <v>0.82799999999999996</v>
      </c>
      <c r="E24" s="1">
        <v>1.67</v>
      </c>
      <c r="F24" s="1">
        <v>1.44</v>
      </c>
      <c r="G24" s="1">
        <v>-0.88</v>
      </c>
      <c r="H24" s="1">
        <v>0.99</v>
      </c>
      <c r="I24" s="1">
        <v>-2.99</v>
      </c>
      <c r="J24" s="8">
        <v>0.27</v>
      </c>
      <c r="K24" s="3">
        <f t="shared" si="18"/>
        <v>-1.0903010033444815</v>
      </c>
    </row>
    <row r="25" spans="1:11" x14ac:dyDescent="0.25">
      <c r="A25" s="1" t="s">
        <v>165</v>
      </c>
      <c r="B25" s="1">
        <v>3.512</v>
      </c>
      <c r="C25" s="1">
        <v>2.9740000000000002</v>
      </c>
      <c r="D25" s="1">
        <v>3.133</v>
      </c>
      <c r="E25" s="1">
        <v>7</v>
      </c>
      <c r="F25" s="1">
        <v>3.6</v>
      </c>
      <c r="G25" s="1">
        <v>-4.8499999999999996</v>
      </c>
      <c r="H25" s="1">
        <v>7.65</v>
      </c>
      <c r="I25" s="1">
        <v>4.49</v>
      </c>
      <c r="J25" s="8">
        <v>2.87</v>
      </c>
      <c r="K25" s="3">
        <f t="shared" si="18"/>
        <v>-0.36080178173719379</v>
      </c>
    </row>
    <row r="26" spans="1:11" s="4" customFormat="1" ht="15.6" x14ac:dyDescent="0.3">
      <c r="A26" s="4" t="s">
        <v>169</v>
      </c>
      <c r="B26" s="4">
        <v>3.512</v>
      </c>
      <c r="C26" s="4">
        <v>2.9740000000000002</v>
      </c>
      <c r="D26" s="4">
        <v>3.133</v>
      </c>
      <c r="E26" s="4">
        <v>7</v>
      </c>
      <c r="F26" s="4">
        <v>3.6</v>
      </c>
      <c r="G26" s="74">
        <v>-4.8499999999999996</v>
      </c>
      <c r="H26" s="74">
        <v>7.65</v>
      </c>
      <c r="I26" s="74">
        <v>4.41</v>
      </c>
      <c r="J26" s="68">
        <v>3.1</v>
      </c>
      <c r="K26" s="5">
        <f t="shared" si="18"/>
        <v>-0.2970521541950113</v>
      </c>
    </row>
    <row r="27" spans="1:11" s="2" customFormat="1" ht="15.6" x14ac:dyDescent="0.3">
      <c r="A27" s="2" t="s">
        <v>175</v>
      </c>
      <c r="B27" s="26">
        <f t="shared" ref="B27:J27" si="19">B26/B2</f>
        <v>3.0838126179918338E-2</v>
      </c>
      <c r="C27" s="26">
        <f t="shared" si="19"/>
        <v>2.7139741378523652E-2</v>
      </c>
      <c r="D27" s="26">
        <f t="shared" si="19"/>
        <v>2.5923198490778357E-2</v>
      </c>
      <c r="E27" s="26">
        <f t="shared" si="19"/>
        <v>4.9191848208011237E-2</v>
      </c>
      <c r="F27" s="26">
        <f t="shared" si="19"/>
        <v>2.1078517477604076E-2</v>
      </c>
      <c r="G27" s="26">
        <f t="shared" ref="G27:I27" si="20">G26/G2</f>
        <v>-2.8783382789317507E-2</v>
      </c>
      <c r="H27" s="26">
        <f t="shared" si="20"/>
        <v>4.1862755827952285E-2</v>
      </c>
      <c r="I27" s="26">
        <f t="shared" si="20"/>
        <v>2.1626127893291488E-2</v>
      </c>
      <c r="J27" s="9">
        <f t="shared" si="19"/>
        <v>1.2999538726045205E-2</v>
      </c>
      <c r="K27" s="2">
        <f>J27-I27</f>
        <v>-8.6265891672462833E-3</v>
      </c>
    </row>
    <row r="28" spans="1:11" x14ac:dyDescent="0.25">
      <c r="A28" s="55" t="s">
        <v>167</v>
      </c>
      <c r="B28" s="1">
        <v>4</v>
      </c>
      <c r="C28" s="1">
        <v>3.8050000000000002</v>
      </c>
      <c r="D28" s="1">
        <v>3.0089999999999999</v>
      </c>
      <c r="E28" s="1">
        <v>7.09</v>
      </c>
      <c r="F28" s="1">
        <v>4.1500000000000004</v>
      </c>
      <c r="G28" s="1">
        <v>-5.8</v>
      </c>
      <c r="H28" s="1">
        <v>6.91</v>
      </c>
      <c r="I28" s="1">
        <v>4.41</v>
      </c>
      <c r="J28" s="8">
        <v>3.1</v>
      </c>
      <c r="K28" s="3">
        <f t="shared" ref="K28:K29" si="21">J28/I28-1</f>
        <v>-0.2970521541950113</v>
      </c>
    </row>
    <row r="29" spans="1:11" x14ac:dyDescent="0.25">
      <c r="A29" s="1" t="s">
        <v>168</v>
      </c>
      <c r="B29" s="1">
        <v>0.56000000000000005</v>
      </c>
      <c r="C29" s="1">
        <v>0.53</v>
      </c>
      <c r="D29" s="1">
        <v>0.41</v>
      </c>
      <c r="E29" s="1">
        <v>0.99</v>
      </c>
      <c r="F29" s="1">
        <v>0.57999999999999996</v>
      </c>
      <c r="G29" s="1">
        <v>-0.81</v>
      </c>
      <c r="H29" s="1">
        <v>0.96</v>
      </c>
      <c r="I29" s="1">
        <v>0.61</v>
      </c>
      <c r="J29" s="8">
        <v>0.43</v>
      </c>
      <c r="K29" s="3">
        <f t="shared" si="21"/>
        <v>-0.29508196721311475</v>
      </c>
    </row>
    <row r="32" spans="1:11" x14ac:dyDescent="0.25">
      <c r="C32" s="3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4"/>
  <sheetViews>
    <sheetView zoomScale="80" zoomScaleNormal="80" workbookViewId="0">
      <pane xSplit="1" ySplit="1" topLeftCell="W2" activePane="bottomRight" state="frozenSplit"/>
      <selection sqref="A1:A1048576"/>
      <selection pane="topRight" activeCell="B1" sqref="B1"/>
      <selection pane="bottomLeft" activeCell="A28" sqref="A28"/>
      <selection pane="bottomRight" activeCell="N19" sqref="N19"/>
    </sheetView>
  </sheetViews>
  <sheetFormatPr defaultColWidth="10.54296875" defaultRowHeight="15" x14ac:dyDescent="0.25"/>
  <cols>
    <col min="1" max="1" width="44.36328125" style="30" customWidth="1"/>
    <col min="2" max="11" width="10.54296875" style="1"/>
    <col min="12" max="14" width="10.54296875" style="1" customWidth="1"/>
    <col min="15" max="22" width="10.54296875" style="1"/>
    <col min="23" max="23" width="13.1796875" style="1" bestFit="1" customWidth="1"/>
    <col min="24" max="25" width="10.54296875" style="1"/>
    <col min="26" max="26" width="12.36328125" style="1" bestFit="1" customWidth="1"/>
    <col min="27" max="27" width="13.1796875" style="1" bestFit="1" customWidth="1"/>
    <col min="28" max="30" width="13.1796875" style="1" customWidth="1"/>
    <col min="31" max="31" width="10.54296875" style="8"/>
    <col min="32" max="32" width="11" style="3" bestFit="1" customWidth="1"/>
    <col min="33" max="33" width="11" style="3" customWidth="1"/>
    <col min="34" max="16384" width="10.54296875" style="1"/>
  </cols>
  <sheetData>
    <row r="1" spans="1:35" s="4" customFormat="1" ht="15.6" x14ac:dyDescent="0.3">
      <c r="A1" s="30" t="s">
        <v>106</v>
      </c>
      <c r="B1" s="28" t="s">
        <v>104</v>
      </c>
      <c r="C1" s="28" t="s">
        <v>105</v>
      </c>
      <c r="D1" s="28" t="s">
        <v>20</v>
      </c>
      <c r="E1" s="28" t="s">
        <v>21</v>
      </c>
      <c r="F1" s="28" t="s">
        <v>22</v>
      </c>
      <c r="G1" s="28" t="s">
        <v>23</v>
      </c>
      <c r="H1" s="28" t="s">
        <v>24</v>
      </c>
      <c r="I1" s="28" t="s">
        <v>141</v>
      </c>
      <c r="J1" s="28" t="s">
        <v>140</v>
      </c>
      <c r="K1" s="28" t="s">
        <v>142</v>
      </c>
      <c r="L1" s="28" t="s">
        <v>145</v>
      </c>
      <c r="M1" s="53" t="s">
        <v>147</v>
      </c>
      <c r="N1" s="53" t="s">
        <v>149</v>
      </c>
      <c r="O1" s="53" t="s">
        <v>151</v>
      </c>
      <c r="P1" s="53" t="s">
        <v>153</v>
      </c>
      <c r="Q1" s="53" t="s">
        <v>155</v>
      </c>
      <c r="R1" s="53" t="s">
        <v>157</v>
      </c>
      <c r="S1" s="53" t="s">
        <v>159</v>
      </c>
      <c r="T1" s="53" t="s">
        <v>161</v>
      </c>
      <c r="U1" s="53" t="s">
        <v>177</v>
      </c>
      <c r="V1" s="53" t="s">
        <v>179</v>
      </c>
      <c r="W1" s="53" t="s">
        <v>181</v>
      </c>
      <c r="X1" s="53" t="s">
        <v>183</v>
      </c>
      <c r="Y1" s="53" t="s">
        <v>185</v>
      </c>
      <c r="Z1" s="53" t="s">
        <v>188</v>
      </c>
      <c r="AA1" s="53" t="s">
        <v>194</v>
      </c>
      <c r="AB1" s="53" t="s">
        <v>192</v>
      </c>
      <c r="AC1" s="53" t="s">
        <v>195</v>
      </c>
      <c r="AD1" s="53" t="s">
        <v>198</v>
      </c>
      <c r="AE1" s="54" t="s">
        <v>201</v>
      </c>
      <c r="AF1" s="41" t="s">
        <v>70</v>
      </c>
      <c r="AG1" s="41" t="s">
        <v>69</v>
      </c>
      <c r="AI1" s="70"/>
    </row>
    <row r="2" spans="1:35" s="10" customFormat="1" ht="15.6" x14ac:dyDescent="0.3">
      <c r="A2" s="34" t="s">
        <v>76</v>
      </c>
      <c r="W2" s="71"/>
      <c r="AF2" s="11"/>
      <c r="AG2" s="11"/>
      <c r="AI2" s="71"/>
    </row>
    <row r="3" spans="1:35" s="28" customFormat="1" ht="15.6" x14ac:dyDescent="0.3">
      <c r="A3" s="28" t="s">
        <v>25</v>
      </c>
      <c r="B3" s="28">
        <v>40.344999999999999</v>
      </c>
      <c r="C3" s="28">
        <v>47.609000000000002</v>
      </c>
      <c r="D3" s="28">
        <v>47.983919999999998</v>
      </c>
      <c r="E3" s="28">
        <v>47.769829999999999</v>
      </c>
      <c r="F3" s="28">
        <v>49.853200000000001</v>
      </c>
      <c r="G3" s="28">
        <v>49.917999999999999</v>
      </c>
      <c r="H3" s="28">
        <v>49.343420000000002</v>
      </c>
      <c r="I3" s="28">
        <v>49.82</v>
      </c>
      <c r="J3" s="28">
        <v>52.83</v>
      </c>
      <c r="K3" s="28">
        <v>55.41</v>
      </c>
      <c r="L3" s="28">
        <v>59.05</v>
      </c>
      <c r="M3" s="28">
        <v>62.53</v>
      </c>
      <c r="N3" s="28">
        <v>63.92</v>
      </c>
      <c r="O3" s="28">
        <v>64.36</v>
      </c>
      <c r="P3" s="28">
        <v>67.98</v>
      </c>
      <c r="Q3" s="28">
        <v>69.569999999999993</v>
      </c>
      <c r="R3" s="28">
        <v>70.27</v>
      </c>
      <c r="S3" s="28">
        <v>69.64</v>
      </c>
      <c r="T3" s="28">
        <v>69.12</v>
      </c>
      <c r="U3" s="28">
        <v>67.790000000000006</v>
      </c>
      <c r="V3" s="28">
        <v>66.73</v>
      </c>
      <c r="W3" s="4">
        <v>70.16</v>
      </c>
      <c r="X3" s="28">
        <v>63</v>
      </c>
      <c r="Y3" s="28">
        <v>71.709999999999994</v>
      </c>
      <c r="Z3" s="28">
        <v>74.56</v>
      </c>
      <c r="AA3" s="28">
        <v>80.739999999999995</v>
      </c>
      <c r="AB3" s="28">
        <v>81.349999999999994</v>
      </c>
      <c r="AC3" s="28">
        <v>81.150000000000006</v>
      </c>
      <c r="AD3" s="28">
        <v>81.47</v>
      </c>
      <c r="AE3" s="35">
        <v>81.900000000000006</v>
      </c>
      <c r="AF3" s="39">
        <f>AE3/AD3-1</f>
        <v>5.2780164477723712E-3</v>
      </c>
      <c r="AG3" s="39">
        <f>AE3/AA3-1</f>
        <v>1.4367104285360588E-2</v>
      </c>
      <c r="AI3" s="72"/>
    </row>
    <row r="4" spans="1:35" s="30" customFormat="1" x14ac:dyDescent="0.25">
      <c r="A4" s="30" t="s">
        <v>203</v>
      </c>
      <c r="B4" s="30">
        <v>27.440999999999999</v>
      </c>
      <c r="C4" s="30">
        <v>33.619999999999997</v>
      </c>
      <c r="D4" s="30">
        <v>33.784880000000001</v>
      </c>
      <c r="E4" s="30">
        <v>33.155149999999999</v>
      </c>
      <c r="F4" s="30">
        <v>34.550370000000001</v>
      </c>
      <c r="G4" s="30">
        <v>34.625</v>
      </c>
      <c r="H4" s="30">
        <v>33.960520000000002</v>
      </c>
      <c r="I4" s="30">
        <v>34.380000000000003</v>
      </c>
      <c r="J4" s="30">
        <v>37.29</v>
      </c>
      <c r="K4" s="30">
        <v>41.24</v>
      </c>
      <c r="L4" s="30">
        <v>44.13</v>
      </c>
      <c r="M4" s="30">
        <v>46.42</v>
      </c>
      <c r="N4" s="30">
        <v>46.38</v>
      </c>
      <c r="O4" s="30">
        <v>47.57</v>
      </c>
      <c r="P4" s="30">
        <f>46.16+3.76</f>
        <v>49.919999999999995</v>
      </c>
      <c r="Q4" s="30">
        <f>47.19+3.54</f>
        <v>50.73</v>
      </c>
      <c r="R4" s="30">
        <f>46.75+3.33</f>
        <v>50.08</v>
      </c>
      <c r="S4" s="30">
        <f>46.37+3.11</f>
        <v>49.48</v>
      </c>
      <c r="T4" s="30">
        <f>45.84+2.9</f>
        <v>48.74</v>
      </c>
      <c r="U4" s="30">
        <f>44.6+2.69</f>
        <v>47.29</v>
      </c>
      <c r="V4" s="30">
        <f>44.47+2.47</f>
        <v>46.94</v>
      </c>
      <c r="W4" s="1">
        <f>43.47+1.75</f>
        <v>45.22</v>
      </c>
      <c r="X4" s="30">
        <f>42.06+1.6</f>
        <v>43.660000000000004</v>
      </c>
      <c r="Y4" s="30">
        <v>46.14</v>
      </c>
      <c r="Z4" s="30">
        <v>48.86</v>
      </c>
      <c r="AA4" s="30">
        <v>51.06</v>
      </c>
      <c r="AB4" s="30">
        <v>51.65</v>
      </c>
      <c r="AC4" s="30">
        <v>50.34</v>
      </c>
      <c r="AD4" s="30">
        <v>50.16</v>
      </c>
      <c r="AE4" s="29">
        <f>43.2+6.53</f>
        <v>49.730000000000004</v>
      </c>
      <c r="AF4" s="40">
        <f t="shared" ref="AF4:AF30" si="0">AE4/AD4-1</f>
        <v>-8.5725677830938984E-3</v>
      </c>
      <c r="AG4" s="40">
        <f t="shared" ref="AG4:AG30" si="1">AE4/AA4-1</f>
        <v>-2.60477869173521E-2</v>
      </c>
      <c r="AI4" s="73"/>
    </row>
    <row r="5" spans="1:35" s="30" customFormat="1" x14ac:dyDescent="0.25">
      <c r="A5" s="30" t="s">
        <v>26</v>
      </c>
      <c r="B5" s="30">
        <v>3.6030000000000002</v>
      </c>
      <c r="C5" s="30">
        <v>5.8540000000000001</v>
      </c>
      <c r="D5" s="30">
        <v>6.0702499999999997</v>
      </c>
      <c r="E5" s="30">
        <v>6.4791499999999997</v>
      </c>
      <c r="F5" s="30">
        <v>7.1688599999999996</v>
      </c>
      <c r="G5" s="30">
        <v>7.8710000000000004</v>
      </c>
      <c r="H5" s="30">
        <v>7.95411</v>
      </c>
      <c r="I5" s="30">
        <v>8.02</v>
      </c>
      <c r="J5" s="30">
        <v>8.1300000000000008</v>
      </c>
      <c r="K5" s="30">
        <v>8.5500000000000007</v>
      </c>
      <c r="L5" s="30">
        <v>9.2799999999999994</v>
      </c>
      <c r="M5" s="30">
        <v>10.5</v>
      </c>
      <c r="N5" s="30">
        <v>11.8</v>
      </c>
      <c r="O5" s="30">
        <v>12.83</v>
      </c>
      <c r="P5" s="30">
        <v>13.82</v>
      </c>
      <c r="Q5" s="30">
        <v>14.76</v>
      </c>
      <c r="R5" s="30">
        <v>15.67</v>
      </c>
      <c r="S5" s="30">
        <v>16.05</v>
      </c>
      <c r="T5" s="30">
        <v>16.23</v>
      </c>
      <c r="U5" s="30">
        <v>16.55</v>
      </c>
      <c r="V5" s="30">
        <v>15.44</v>
      </c>
      <c r="W5" s="1">
        <v>20.91</v>
      </c>
      <c r="X5" s="30">
        <v>14.72</v>
      </c>
      <c r="Y5" s="30">
        <v>21.83</v>
      </c>
      <c r="Z5" s="30">
        <v>21.73</v>
      </c>
      <c r="AA5" s="30">
        <v>23.15</v>
      </c>
      <c r="AB5" s="30">
        <v>23.42</v>
      </c>
      <c r="AC5" s="30">
        <v>24.12</v>
      </c>
      <c r="AD5" s="30">
        <v>24.61</v>
      </c>
      <c r="AE5" s="29">
        <v>25.38</v>
      </c>
      <c r="AF5" s="40">
        <f t="shared" si="0"/>
        <v>3.1288094270621736E-2</v>
      </c>
      <c r="AG5" s="40">
        <f t="shared" si="1"/>
        <v>9.6328293736501092E-2</v>
      </c>
      <c r="AI5" s="73"/>
    </row>
    <row r="6" spans="1:35" s="30" customFormat="1" x14ac:dyDescent="0.25">
      <c r="A6" s="30" t="s">
        <v>27</v>
      </c>
      <c r="B6" s="30">
        <v>8.7539999999999996</v>
      </c>
      <c r="C6" s="30">
        <v>7.5990000000000002</v>
      </c>
      <c r="D6" s="30">
        <v>7.5929399999999996</v>
      </c>
      <c r="E6" s="30">
        <v>7.5844500000000004</v>
      </c>
      <c r="F6" s="30">
        <v>7.5839699999999999</v>
      </c>
      <c r="G6" s="30">
        <v>6.875</v>
      </c>
      <c r="H6" s="30">
        <v>6.8742700000000001</v>
      </c>
      <c r="I6" s="30">
        <v>6.87</v>
      </c>
      <c r="J6" s="30">
        <v>6.87</v>
      </c>
      <c r="K6" s="30">
        <v>5.2</v>
      </c>
      <c r="L6" s="30">
        <v>5.21</v>
      </c>
      <c r="M6" s="30">
        <v>5.17</v>
      </c>
      <c r="N6" s="30">
        <v>5.3</v>
      </c>
      <c r="O6" s="30">
        <v>3.93</v>
      </c>
      <c r="P6" s="30">
        <v>4.21</v>
      </c>
      <c r="Q6" s="30">
        <v>4.03</v>
      </c>
      <c r="R6" s="30">
        <v>4.4800000000000004</v>
      </c>
      <c r="S6" s="30">
        <v>4.04</v>
      </c>
      <c r="T6" s="30">
        <v>4.07</v>
      </c>
      <c r="U6" s="30">
        <v>3.88</v>
      </c>
      <c r="V6" s="30">
        <v>3.78</v>
      </c>
      <c r="W6" s="1">
        <v>3.46</v>
      </c>
      <c r="X6" s="30">
        <v>4.0599999999999996</v>
      </c>
      <c r="Y6" s="30">
        <v>3.18</v>
      </c>
      <c r="Z6" s="30">
        <v>3.27</v>
      </c>
      <c r="AA6" s="30">
        <v>5.79</v>
      </c>
      <c r="AB6" s="30">
        <v>5.54</v>
      </c>
      <c r="AC6" s="30">
        <v>5.51</v>
      </c>
      <c r="AD6" s="30">
        <v>5.43</v>
      </c>
      <c r="AE6" s="29">
        <v>5.49</v>
      </c>
      <c r="AF6" s="40">
        <f t="shared" si="0"/>
        <v>1.1049723756906271E-2</v>
      </c>
      <c r="AG6" s="40">
        <f t="shared" si="1"/>
        <v>-5.1813471502590636E-2</v>
      </c>
      <c r="AI6" s="73"/>
    </row>
    <row r="7" spans="1:35" s="30" customFormat="1" x14ac:dyDescent="0.25">
      <c r="A7" s="30" t="s">
        <v>28</v>
      </c>
      <c r="B7" s="30">
        <v>0.54600000000000004</v>
      </c>
      <c r="C7" s="30">
        <v>0.53500000000000003</v>
      </c>
      <c r="D7" s="30">
        <v>0.53474999999999995</v>
      </c>
      <c r="E7" s="30">
        <v>0.54993000000000003</v>
      </c>
      <c r="F7" s="30">
        <v>0.54888000000000003</v>
      </c>
      <c r="G7" s="30">
        <v>0.53500000000000003</v>
      </c>
      <c r="H7" s="30">
        <v>0.55311999999999995</v>
      </c>
      <c r="I7" s="30">
        <v>0.55000000000000004</v>
      </c>
      <c r="J7" s="30">
        <v>0.54</v>
      </c>
      <c r="K7" s="30">
        <v>0.41</v>
      </c>
      <c r="L7" s="30">
        <v>0.43</v>
      </c>
      <c r="M7" s="30">
        <v>0.44</v>
      </c>
      <c r="N7" s="30">
        <v>0.44</v>
      </c>
      <c r="O7" s="30">
        <v>0.03</v>
      </c>
      <c r="P7" s="30">
        <v>0.03</v>
      </c>
      <c r="Q7" s="30">
        <v>0.04</v>
      </c>
      <c r="R7" s="30">
        <v>0.01</v>
      </c>
      <c r="S7" s="30">
        <v>0.03</v>
      </c>
      <c r="T7" s="30">
        <v>0.05</v>
      </c>
      <c r="U7" s="30">
        <v>0.05</v>
      </c>
      <c r="V7" s="30">
        <v>0.05</v>
      </c>
      <c r="W7" s="1">
        <v>0.05</v>
      </c>
      <c r="X7" s="30">
        <v>0.05</v>
      </c>
      <c r="Y7" s="30">
        <v>0.05</v>
      </c>
      <c r="Z7" s="30">
        <f>0.05</f>
        <v>0.05</v>
      </c>
      <c r="AA7" s="30">
        <v>0.03</v>
      </c>
      <c r="AB7" s="30">
        <v>0.04</v>
      </c>
      <c r="AC7" s="30">
        <v>0.04</v>
      </c>
      <c r="AD7" s="30">
        <v>0.04</v>
      </c>
      <c r="AE7" s="29">
        <v>0.04</v>
      </c>
      <c r="AF7" s="40">
        <f t="shared" si="0"/>
        <v>0</v>
      </c>
      <c r="AG7" s="40">
        <f t="shared" si="1"/>
        <v>0.33333333333333348</v>
      </c>
      <c r="AI7" s="73"/>
    </row>
    <row r="8" spans="1:35" s="30" customFormat="1" x14ac:dyDescent="0.25">
      <c r="A8" s="30" t="s">
        <v>202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0.01</v>
      </c>
      <c r="H8" s="30">
        <v>0</v>
      </c>
      <c r="I8" s="30">
        <v>0</v>
      </c>
      <c r="J8" s="30">
        <v>0</v>
      </c>
      <c r="K8" s="30">
        <v>0.01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0.01</v>
      </c>
      <c r="R8" s="30">
        <v>0</v>
      </c>
      <c r="S8" s="30">
        <v>0.04</v>
      </c>
      <c r="T8" s="30">
        <v>0.03</v>
      </c>
      <c r="U8" s="30">
        <v>0.02</v>
      </c>
      <c r="V8" s="30">
        <v>0.52</v>
      </c>
      <c r="W8" s="1">
        <v>0.52</v>
      </c>
      <c r="X8" s="30">
        <v>0.51</v>
      </c>
      <c r="Y8" s="30">
        <v>0.51</v>
      </c>
      <c r="Z8" s="30">
        <v>0.65</v>
      </c>
      <c r="AA8" s="30">
        <v>0.71</v>
      </c>
      <c r="AB8" s="30">
        <v>0.7</v>
      </c>
      <c r="AC8" s="30">
        <v>1.1399999999999999</v>
      </c>
      <c r="AD8" s="30">
        <v>1.23</v>
      </c>
      <c r="AE8" s="29">
        <v>1.26</v>
      </c>
      <c r="AF8" s="40">
        <f t="shared" si="0"/>
        <v>2.4390243902439046E-2</v>
      </c>
      <c r="AG8" s="40">
        <f t="shared" si="1"/>
        <v>0.77464788732394374</v>
      </c>
      <c r="AI8" s="73"/>
    </row>
    <row r="9" spans="1:35" s="28" customFormat="1" ht="15.6" x14ac:dyDescent="0.3">
      <c r="A9" s="28" t="s">
        <v>29</v>
      </c>
      <c r="B9" s="28">
        <v>52.914000000000001</v>
      </c>
      <c r="C9" s="28">
        <v>50.177999999999997</v>
      </c>
      <c r="D9" s="28">
        <v>44.846519999999998</v>
      </c>
      <c r="E9" s="28">
        <v>47.966360000000002</v>
      </c>
      <c r="F9" s="28">
        <v>51.898180000000004</v>
      </c>
      <c r="G9" s="28">
        <v>57.509</v>
      </c>
      <c r="H9" s="28">
        <v>56.525179999999999</v>
      </c>
      <c r="I9" s="28">
        <v>58.55</v>
      </c>
      <c r="J9" s="28">
        <v>64.260000000000005</v>
      </c>
      <c r="K9" s="28">
        <v>66.55</v>
      </c>
      <c r="L9" s="28">
        <v>62.15</v>
      </c>
      <c r="M9" s="28">
        <v>70.64</v>
      </c>
      <c r="N9" s="28">
        <v>77.540000000000006</v>
      </c>
      <c r="O9" s="28">
        <v>79.47</v>
      </c>
      <c r="P9" s="28">
        <v>72.94</v>
      </c>
      <c r="Q9" s="28">
        <v>73.52</v>
      </c>
      <c r="R9" s="28">
        <v>77.69</v>
      </c>
      <c r="S9" s="28">
        <v>80.680000000000007</v>
      </c>
      <c r="T9" s="28">
        <v>88.56</v>
      </c>
      <c r="U9" s="28">
        <v>85.34</v>
      </c>
      <c r="V9" s="28">
        <v>84.91</v>
      </c>
      <c r="W9" s="4">
        <v>86.32</v>
      </c>
      <c r="X9" s="28">
        <v>97.27</v>
      </c>
      <c r="Y9" s="28">
        <v>96.08</v>
      </c>
      <c r="Z9" s="28">
        <v>107.61</v>
      </c>
      <c r="AA9" s="28">
        <v>124.57</v>
      </c>
      <c r="AB9" s="28">
        <v>121.02</v>
      </c>
      <c r="AC9" s="28">
        <v>131.47999999999999</v>
      </c>
      <c r="AD9" s="28">
        <v>117.78</v>
      </c>
      <c r="AE9" s="35">
        <v>118.71</v>
      </c>
      <c r="AF9" s="39">
        <f t="shared" si="0"/>
        <v>7.8960774325012029E-3</v>
      </c>
      <c r="AG9" s="39">
        <f t="shared" si="1"/>
        <v>-4.7041823874127031E-2</v>
      </c>
      <c r="AI9" s="72"/>
    </row>
    <row r="10" spans="1:35" s="30" customFormat="1" x14ac:dyDescent="0.25">
      <c r="A10" s="30" t="s">
        <v>30</v>
      </c>
      <c r="B10" s="30">
        <v>28.364999999999998</v>
      </c>
      <c r="C10" s="30">
        <v>24.532</v>
      </c>
      <c r="D10" s="30">
        <v>25.388110000000001</v>
      </c>
      <c r="E10" s="30">
        <v>25.32066</v>
      </c>
      <c r="F10" s="30">
        <v>27.43064</v>
      </c>
      <c r="G10" s="30">
        <v>29.832999999999998</v>
      </c>
      <c r="H10" s="30">
        <v>33.137569999999997</v>
      </c>
      <c r="I10" s="30">
        <v>31.48</v>
      </c>
      <c r="J10" s="30">
        <v>32.57</v>
      </c>
      <c r="K10" s="30">
        <v>32.590000000000003</v>
      </c>
      <c r="L10" s="30">
        <v>31.29</v>
      </c>
      <c r="M10" s="30">
        <v>32.61</v>
      </c>
      <c r="N10" s="30">
        <v>39.94</v>
      </c>
      <c r="O10" s="30">
        <v>35.51</v>
      </c>
      <c r="P10" s="30">
        <v>36.67</v>
      </c>
      <c r="Q10" s="30">
        <v>37.880000000000003</v>
      </c>
      <c r="R10" s="30">
        <v>40.450000000000003</v>
      </c>
      <c r="S10" s="30">
        <v>41.55</v>
      </c>
      <c r="T10" s="30">
        <v>45.77</v>
      </c>
      <c r="U10" s="30">
        <v>47.23</v>
      </c>
      <c r="V10" s="30">
        <v>47.23</v>
      </c>
      <c r="W10" s="1">
        <v>40.770000000000003</v>
      </c>
      <c r="X10" s="30">
        <v>59.19</v>
      </c>
      <c r="Y10" s="30">
        <v>57.02</v>
      </c>
      <c r="Z10" s="30">
        <v>58.83</v>
      </c>
      <c r="AA10" s="30">
        <v>64.53</v>
      </c>
      <c r="AB10" s="30">
        <v>73.87</v>
      </c>
      <c r="AC10" s="30">
        <v>70.7</v>
      </c>
      <c r="AD10" s="30">
        <v>63.92</v>
      </c>
      <c r="AE10" s="29">
        <v>61.25</v>
      </c>
      <c r="AF10" s="40">
        <f t="shared" si="0"/>
        <v>-4.1770963704630848E-2</v>
      </c>
      <c r="AG10" s="40">
        <f t="shared" si="1"/>
        <v>-5.0829071749573851E-2</v>
      </c>
      <c r="AI10" s="73"/>
    </row>
    <row r="11" spans="1:35" s="30" customFormat="1" x14ac:dyDescent="0.25">
      <c r="A11" s="30" t="s">
        <v>31</v>
      </c>
      <c r="B11" s="30">
        <v>19.891999999999999</v>
      </c>
      <c r="C11" s="30">
        <v>21.838999999999999</v>
      </c>
      <c r="D11" s="30">
        <v>14.83122</v>
      </c>
      <c r="E11" s="30">
        <v>18.250440000000001</v>
      </c>
      <c r="F11" s="30">
        <v>20.480029999999999</v>
      </c>
      <c r="G11" s="30">
        <v>23.771999999999998</v>
      </c>
      <c r="H11" s="30">
        <v>19.869959999999999</v>
      </c>
      <c r="I11" s="30">
        <v>21.31</v>
      </c>
      <c r="J11" s="30">
        <v>25.6</v>
      </c>
      <c r="K11" s="30">
        <v>28.49</v>
      </c>
      <c r="L11" s="30">
        <v>26.32</v>
      </c>
      <c r="M11" s="30">
        <v>32.799999999999997</v>
      </c>
      <c r="N11" s="30">
        <v>32.19</v>
      </c>
      <c r="O11" s="30">
        <v>34.92</v>
      </c>
      <c r="P11" s="30">
        <v>25.44</v>
      </c>
      <c r="Q11" s="30">
        <v>28.72</v>
      </c>
      <c r="R11" s="30">
        <v>30.01</v>
      </c>
      <c r="S11" s="30">
        <v>32.01</v>
      </c>
      <c r="T11" s="30">
        <v>33.85</v>
      </c>
      <c r="U11" s="30">
        <v>29.94</v>
      </c>
      <c r="V11" s="30">
        <v>29.57</v>
      </c>
      <c r="W11" s="1">
        <v>33.51</v>
      </c>
      <c r="X11" s="30">
        <v>27.76</v>
      </c>
      <c r="Y11" s="30">
        <v>30.08</v>
      </c>
      <c r="Z11" s="30">
        <v>39.950000000000003</v>
      </c>
      <c r="AA11" s="30">
        <v>45.7</v>
      </c>
      <c r="AB11" s="30">
        <v>37.96</v>
      </c>
      <c r="AC11" s="30">
        <v>51.71</v>
      </c>
      <c r="AD11" s="30">
        <v>42.24</v>
      </c>
      <c r="AE11" s="29">
        <v>46.55</v>
      </c>
      <c r="AF11" s="40">
        <f t="shared" si="0"/>
        <v>0.10203598484848464</v>
      </c>
      <c r="AG11" s="40">
        <f t="shared" si="1"/>
        <v>1.8599562363238453E-2</v>
      </c>
      <c r="AI11" s="73"/>
    </row>
    <row r="12" spans="1:35" s="30" customFormat="1" x14ac:dyDescent="0.25">
      <c r="A12" s="30" t="s">
        <v>32</v>
      </c>
      <c r="B12" s="30">
        <v>2.0840000000000001</v>
      </c>
      <c r="C12" s="30">
        <v>1.5980000000000001</v>
      </c>
      <c r="D12" s="30">
        <v>1.6560900000000001</v>
      </c>
      <c r="E12" s="30">
        <v>1.4</v>
      </c>
      <c r="F12" s="30">
        <v>1.6956500000000001</v>
      </c>
      <c r="G12" s="30">
        <v>1.7010000000000001</v>
      </c>
      <c r="H12" s="30">
        <v>1.26711</v>
      </c>
      <c r="I12" s="30">
        <v>1.49</v>
      </c>
      <c r="J12" s="30">
        <v>0.93</v>
      </c>
      <c r="K12" s="30">
        <v>1.3800000000000026</v>
      </c>
      <c r="L12" s="30">
        <v>1.04</v>
      </c>
      <c r="M12" s="30">
        <v>1.81</v>
      </c>
      <c r="N12" s="30">
        <v>1.73</v>
      </c>
      <c r="O12" s="30">
        <f>2.29+0.22</f>
        <v>2.5100000000000002</v>
      </c>
      <c r="P12" s="30">
        <f>2.29</f>
        <v>2.29</v>
      </c>
      <c r="Q12" s="30">
        <f>0.34+1.37</f>
        <v>1.7100000000000002</v>
      </c>
      <c r="R12" s="30">
        <v>1.66</v>
      </c>
      <c r="S12" s="30">
        <f>1.25+0.19</f>
        <v>1.44</v>
      </c>
      <c r="T12" s="30">
        <v>2.2000000000000002</v>
      </c>
      <c r="U12" s="30">
        <v>3.02</v>
      </c>
      <c r="V12" s="30">
        <f>2.03+0.13+0.19</f>
        <v>2.3499999999999996</v>
      </c>
      <c r="W12" s="1">
        <f>2.79+0.23</f>
        <v>3.02</v>
      </c>
      <c r="X12" s="30">
        <v>3.28</v>
      </c>
      <c r="Y12" s="30">
        <f>3.56+0.01</f>
        <v>3.57</v>
      </c>
      <c r="Z12" s="30">
        <f>3.25+0.05+0.24</f>
        <v>3.54</v>
      </c>
      <c r="AA12" s="30">
        <f>2.9+0.71</f>
        <v>3.61</v>
      </c>
      <c r="AB12" s="30">
        <v>3.15</v>
      </c>
      <c r="AC12" s="30">
        <v>3.16</v>
      </c>
      <c r="AD12" s="30">
        <f>1.8+0.34+0.74</f>
        <v>2.88</v>
      </c>
      <c r="AE12" s="29">
        <v>2.12</v>
      </c>
      <c r="AF12" s="40">
        <f t="shared" si="0"/>
        <v>-0.26388888888888884</v>
      </c>
      <c r="AG12" s="40">
        <f t="shared" si="1"/>
        <v>-0.41274238227146809</v>
      </c>
      <c r="AI12" s="73"/>
    </row>
    <row r="13" spans="1:35" s="30" customFormat="1" x14ac:dyDescent="0.25">
      <c r="A13" s="30" t="s">
        <v>33</v>
      </c>
      <c r="B13" s="30">
        <v>0.89100000000000001</v>
      </c>
      <c r="C13" s="30">
        <v>1.3260000000000001</v>
      </c>
      <c r="D13" s="30">
        <v>1.75108</v>
      </c>
      <c r="E13" s="30">
        <v>1.7148000000000001</v>
      </c>
      <c r="F13" s="30">
        <v>1.48187</v>
      </c>
      <c r="G13" s="30">
        <v>1.2170000000000001</v>
      </c>
      <c r="H13" s="30">
        <v>1.35164</v>
      </c>
      <c r="I13" s="30">
        <v>1.88</v>
      </c>
      <c r="J13" s="30">
        <v>1.95</v>
      </c>
      <c r="K13" s="30">
        <v>1.47</v>
      </c>
      <c r="L13" s="30">
        <v>2.02</v>
      </c>
      <c r="M13" s="30">
        <v>2.72</v>
      </c>
      <c r="N13" s="30">
        <v>2.14</v>
      </c>
      <c r="O13" s="30">
        <v>1.27</v>
      </c>
      <c r="P13" s="30">
        <v>1.45</v>
      </c>
      <c r="Q13" s="30">
        <v>2</v>
      </c>
      <c r="R13" s="30">
        <v>2.2599999999999998</v>
      </c>
      <c r="S13" s="30">
        <v>1.94</v>
      </c>
      <c r="T13" s="30">
        <v>1.89</v>
      </c>
      <c r="U13" s="30">
        <v>1.46</v>
      </c>
      <c r="V13" s="30">
        <v>1.88</v>
      </c>
      <c r="W13" s="1">
        <v>3.01</v>
      </c>
      <c r="X13" s="30">
        <v>2.8</v>
      </c>
      <c r="Y13" s="30">
        <v>2.7</v>
      </c>
      <c r="Z13" s="30">
        <v>2.2999999999999998</v>
      </c>
      <c r="AA13" s="30">
        <f>0.37+2.25</f>
        <v>2.62</v>
      </c>
      <c r="AB13" s="30">
        <v>2.11</v>
      </c>
      <c r="AC13" s="30">
        <v>1.65</v>
      </c>
      <c r="AD13" s="30">
        <v>1.63</v>
      </c>
      <c r="AE13" s="29">
        <v>2.13</v>
      </c>
      <c r="AF13" s="40">
        <f t="shared" si="0"/>
        <v>0.30674846625766872</v>
      </c>
      <c r="AG13" s="40">
        <f t="shared" si="1"/>
        <v>-0.18702290076335881</v>
      </c>
      <c r="AI13" s="73"/>
    </row>
    <row r="14" spans="1:35" s="30" customFormat="1" x14ac:dyDescent="0.25">
      <c r="A14" s="30" t="s">
        <v>34</v>
      </c>
      <c r="B14" s="30">
        <v>1.6819999999999999</v>
      </c>
      <c r="C14" s="30">
        <v>0.86499999999999999</v>
      </c>
      <c r="D14" s="30">
        <v>1.20242</v>
      </c>
      <c r="E14" s="30">
        <v>1.26284</v>
      </c>
      <c r="F14" s="30">
        <v>0.79237000000000002</v>
      </c>
      <c r="G14" s="30">
        <v>0.98699999999999999</v>
      </c>
      <c r="H14" s="30">
        <v>0.89890000000000003</v>
      </c>
      <c r="I14" s="30">
        <v>2.38</v>
      </c>
      <c r="J14" s="30">
        <v>3.21</v>
      </c>
      <c r="K14" s="30">
        <v>2.62</v>
      </c>
      <c r="L14" s="30">
        <v>1.48</v>
      </c>
      <c r="M14" s="30">
        <v>0.7</v>
      </c>
      <c r="N14" s="30">
        <v>1.54</v>
      </c>
      <c r="O14" s="30">
        <v>5.26</v>
      </c>
      <c r="P14" s="30">
        <v>7.09</v>
      </c>
      <c r="Q14" s="30">
        <v>3.21</v>
      </c>
      <c r="R14" s="30">
        <v>3.31</v>
      </c>
      <c r="S14" s="30">
        <v>3.74</v>
      </c>
      <c r="T14" s="30">
        <v>4.8499999999999996</v>
      </c>
      <c r="U14" s="30">
        <v>3.69</v>
      </c>
      <c r="V14" s="30">
        <v>3.88</v>
      </c>
      <c r="W14" s="1">
        <v>6.01</v>
      </c>
      <c r="X14" s="30">
        <v>4.24</v>
      </c>
      <c r="Y14" s="30">
        <v>2.71</v>
      </c>
      <c r="Z14" s="30">
        <v>2.99</v>
      </c>
      <c r="AA14" s="30">
        <v>8.11</v>
      </c>
      <c r="AB14" s="30">
        <v>3.93</v>
      </c>
      <c r="AC14" s="30">
        <v>4.26</v>
      </c>
      <c r="AD14" s="30">
        <v>7.11</v>
      </c>
      <c r="AE14" s="29">
        <v>6.66</v>
      </c>
      <c r="AF14" s="40">
        <f t="shared" si="0"/>
        <v>-6.3291139240506333E-2</v>
      </c>
      <c r="AG14" s="40">
        <f t="shared" si="1"/>
        <v>-0.17879161528976562</v>
      </c>
      <c r="AI14" s="73"/>
    </row>
    <row r="15" spans="1:35" s="28" customFormat="1" ht="15.6" x14ac:dyDescent="0.3">
      <c r="A15" s="28" t="s">
        <v>35</v>
      </c>
      <c r="B15" s="28">
        <v>93.259</v>
      </c>
      <c r="C15" s="28">
        <v>97.787999999999997</v>
      </c>
      <c r="D15" s="28">
        <v>92.830439999999996</v>
      </c>
      <c r="E15" s="28">
        <v>95.736189999999993</v>
      </c>
      <c r="F15" s="28">
        <v>101.75138</v>
      </c>
      <c r="G15" s="28">
        <v>107.42700000000001</v>
      </c>
      <c r="H15" s="28">
        <v>105.8686</v>
      </c>
      <c r="I15" s="28">
        <f>I3+I9</f>
        <v>108.37</v>
      </c>
      <c r="J15" s="28">
        <f>J3+J9</f>
        <v>117.09</v>
      </c>
      <c r="K15" s="28">
        <v>121.96</v>
      </c>
      <c r="L15" s="28">
        <v>121.2</v>
      </c>
      <c r="M15" s="28">
        <v>133.16999999999999</v>
      </c>
      <c r="N15" s="28">
        <v>141.46</v>
      </c>
      <c r="O15" s="28">
        <v>143.83000000000001</v>
      </c>
      <c r="P15" s="28">
        <v>140.91999999999999</v>
      </c>
      <c r="Q15" s="28">
        <v>143.09</v>
      </c>
      <c r="R15" s="28">
        <v>147.96</v>
      </c>
      <c r="S15" s="28">
        <v>150.32</v>
      </c>
      <c r="T15" s="28">
        <v>157.68</v>
      </c>
      <c r="U15" s="28">
        <v>153.13</v>
      </c>
      <c r="V15" s="28">
        <v>151.63999999999999</v>
      </c>
      <c r="W15" s="4">
        <v>156.47999999999999</v>
      </c>
      <c r="X15" s="28">
        <v>160.27000000000001</v>
      </c>
      <c r="Y15" s="28">
        <v>167.78</v>
      </c>
      <c r="Z15" s="28">
        <v>182.17</v>
      </c>
      <c r="AA15" s="28">
        <v>205.31</v>
      </c>
      <c r="AB15" s="28">
        <v>202.37</v>
      </c>
      <c r="AC15" s="28">
        <v>212.63</v>
      </c>
      <c r="AD15" s="28">
        <v>199.25</v>
      </c>
      <c r="AE15" s="35">
        <f>AE3+AE9</f>
        <v>200.61</v>
      </c>
      <c r="AF15" s="39">
        <f t="shared" si="0"/>
        <v>6.8255959849436998E-3</v>
      </c>
      <c r="AG15" s="39">
        <f t="shared" si="1"/>
        <v>-2.2892211777312266E-2</v>
      </c>
      <c r="AI15" s="72"/>
    </row>
    <row r="16" spans="1:35" s="10" customFormat="1" ht="15.6" x14ac:dyDescent="0.3">
      <c r="A16" s="34" t="s">
        <v>75</v>
      </c>
      <c r="W16" s="71"/>
      <c r="AF16" s="11"/>
      <c r="AG16" s="11"/>
      <c r="AI16" s="71"/>
    </row>
    <row r="17" spans="1:35" s="28" customFormat="1" ht="15.6" x14ac:dyDescent="0.3">
      <c r="A17" s="28" t="s">
        <v>36</v>
      </c>
      <c r="B17" s="28">
        <v>39.746000000000002</v>
      </c>
      <c r="C17" s="28">
        <v>42.561999999999998</v>
      </c>
      <c r="D17" s="28">
        <v>41.82405</v>
      </c>
      <c r="E17" s="28">
        <v>43.084409999999998</v>
      </c>
      <c r="F17" s="28">
        <v>43.921950000000002</v>
      </c>
      <c r="G17" s="28">
        <v>45.561999999999998</v>
      </c>
      <c r="H17" s="28">
        <v>46.305790000000002</v>
      </c>
      <c r="I17" s="28">
        <v>46.77</v>
      </c>
      <c r="J17" s="28">
        <v>48.63</v>
      </c>
      <c r="K17" s="28">
        <v>51.43</v>
      </c>
      <c r="L17" s="28">
        <v>52.43</v>
      </c>
      <c r="M17" s="28">
        <f>54.21-1.6</f>
        <v>52.61</v>
      </c>
      <c r="N17" s="28">
        <v>54.95</v>
      </c>
      <c r="O17" s="28">
        <v>53.85</v>
      </c>
      <c r="P17" s="28">
        <v>54.75</v>
      </c>
      <c r="Q17" s="28">
        <v>52.61</v>
      </c>
      <c r="R17" s="28">
        <v>52.04</v>
      </c>
      <c r="S17" s="28">
        <v>45.65</v>
      </c>
      <c r="T17" s="28">
        <v>48.53</v>
      </c>
      <c r="U17" s="28">
        <v>49.87</v>
      </c>
      <c r="V17" s="28">
        <v>50.61</v>
      </c>
      <c r="W17" s="4">
        <v>52.05</v>
      </c>
      <c r="X17" s="28">
        <v>52.81</v>
      </c>
      <c r="Y17" s="28">
        <v>54.7</v>
      </c>
      <c r="Z17" s="28">
        <v>55.54</v>
      </c>
      <c r="AA17" s="28">
        <v>59.78</v>
      </c>
      <c r="AB17" s="28">
        <v>60.44</v>
      </c>
      <c r="AC17" s="28">
        <v>61.09</v>
      </c>
      <c r="AD17" s="28">
        <v>62.02</v>
      </c>
      <c r="AE17" s="35">
        <v>61.72</v>
      </c>
      <c r="AF17" s="41">
        <f t="shared" si="0"/>
        <v>-4.8371493066753368E-3</v>
      </c>
      <c r="AG17" s="41">
        <f t="shared" si="1"/>
        <v>3.2452325192372067E-2</v>
      </c>
      <c r="AI17" s="72"/>
    </row>
    <row r="18" spans="1:35" s="30" customFormat="1" x14ac:dyDescent="0.25">
      <c r="A18" s="30" t="s">
        <v>86</v>
      </c>
      <c r="B18" s="30">
        <v>-0.66600000000000004</v>
      </c>
      <c r="C18" s="30">
        <v>-1.552</v>
      </c>
      <c r="D18" s="30">
        <v>-1.5623400000000001</v>
      </c>
      <c r="E18" s="30">
        <v>-1.552</v>
      </c>
      <c r="F18" s="30">
        <v>-1.552</v>
      </c>
      <c r="G18" s="30">
        <v>-1.4690000000000001</v>
      </c>
      <c r="H18" s="30">
        <v>-1.4831799999999999</v>
      </c>
      <c r="I18" s="30">
        <v>-1.06</v>
      </c>
      <c r="J18" s="30">
        <v>-1.69</v>
      </c>
      <c r="K18" s="30">
        <v>-1.54</v>
      </c>
      <c r="L18" s="30">
        <v>-1.67</v>
      </c>
      <c r="M18" s="30">
        <v>-1.6</v>
      </c>
      <c r="N18" s="30">
        <v>-1.65</v>
      </c>
      <c r="O18" s="30">
        <v>-2.06</v>
      </c>
      <c r="P18" s="30">
        <v>-2.0499999999999998</v>
      </c>
      <c r="Q18" s="30">
        <v>-1.64</v>
      </c>
      <c r="R18" s="30">
        <v>-2.25</v>
      </c>
      <c r="S18" s="30">
        <v>-2.09</v>
      </c>
      <c r="T18" s="30">
        <v>-1.62</v>
      </c>
      <c r="U18" s="30">
        <v>-1.91</v>
      </c>
      <c r="V18" s="30">
        <v>-2.1030000000000002</v>
      </c>
      <c r="W18" s="1">
        <v>-1.62</v>
      </c>
      <c r="X18" s="30">
        <v>-2.21</v>
      </c>
      <c r="Y18" s="30">
        <v>-1.68</v>
      </c>
      <c r="Z18" s="30">
        <v>-1.99</v>
      </c>
      <c r="AA18" s="30">
        <v>-0.91</v>
      </c>
      <c r="AB18" s="30">
        <v>-1.1499999999999999</v>
      </c>
      <c r="AC18" s="30">
        <v>-1.2</v>
      </c>
      <c r="AD18" s="30">
        <v>-1.0900000000000001</v>
      </c>
      <c r="AE18" s="29">
        <v>-1.57</v>
      </c>
      <c r="AF18" s="40">
        <f t="shared" si="0"/>
        <v>0.44036697247706424</v>
      </c>
      <c r="AG18" s="40">
        <f t="shared" si="1"/>
        <v>0.72527472527472536</v>
      </c>
      <c r="AI18" s="73"/>
    </row>
    <row r="19" spans="1:35" s="28" customFormat="1" ht="15.6" x14ac:dyDescent="0.3">
      <c r="A19" s="28" t="s">
        <v>37</v>
      </c>
      <c r="B19" s="28">
        <v>11.294</v>
      </c>
      <c r="C19" s="28">
        <v>14.211</v>
      </c>
      <c r="D19" s="28">
        <v>14.03058</v>
      </c>
      <c r="E19" s="28">
        <v>13.18304</v>
      </c>
      <c r="F19" s="28">
        <v>14.02187</v>
      </c>
      <c r="G19" s="28">
        <v>13.750999999999999</v>
      </c>
      <c r="H19" s="28">
        <v>13.27835</v>
      </c>
      <c r="I19" s="28">
        <v>13.35</v>
      </c>
      <c r="J19" s="28">
        <v>15.47</v>
      </c>
      <c r="K19" s="28">
        <v>14.36</v>
      </c>
      <c r="L19" s="28">
        <v>14.66</v>
      </c>
      <c r="M19" s="28">
        <v>16.48</v>
      </c>
      <c r="N19" s="28">
        <v>16.57</v>
      </c>
      <c r="O19" s="28">
        <v>14.93</v>
      </c>
      <c r="P19" s="28">
        <v>18.25</v>
      </c>
      <c r="Q19" s="28">
        <v>17.41</v>
      </c>
      <c r="R19" s="28">
        <v>16.63</v>
      </c>
      <c r="S19" s="28">
        <v>14.17</v>
      </c>
      <c r="T19" s="28">
        <v>12.94</v>
      </c>
      <c r="U19" s="28">
        <v>13.37</v>
      </c>
      <c r="V19" s="28">
        <v>12.61</v>
      </c>
      <c r="W19" s="4">
        <v>10.78</v>
      </c>
      <c r="X19" s="28">
        <v>10.43</v>
      </c>
      <c r="Y19" s="28">
        <v>9.2799999999999994</v>
      </c>
      <c r="Z19" s="28">
        <v>11.79</v>
      </c>
      <c r="AA19" s="28">
        <v>12.84</v>
      </c>
      <c r="AB19" s="28">
        <v>13.84</v>
      </c>
      <c r="AC19" s="28">
        <v>12.25</v>
      </c>
      <c r="AD19" s="28">
        <v>12.2</v>
      </c>
      <c r="AE19" s="35">
        <v>13.93</v>
      </c>
      <c r="AF19" s="39">
        <f t="shared" si="0"/>
        <v>0.1418032786885246</v>
      </c>
      <c r="AG19" s="39">
        <f t="shared" si="1"/>
        <v>8.489096573208732E-2</v>
      </c>
      <c r="AI19" s="72"/>
    </row>
    <row r="20" spans="1:35" s="30" customFormat="1" x14ac:dyDescent="0.25">
      <c r="A20" s="30" t="s">
        <v>77</v>
      </c>
      <c r="B20" s="30">
        <v>0.92400000000000004</v>
      </c>
      <c r="C20" s="30">
        <v>4.952</v>
      </c>
      <c r="D20" s="30">
        <v>4.8291199999999996</v>
      </c>
      <c r="E20" s="30">
        <v>4.4506300000000003</v>
      </c>
      <c r="F20" s="30">
        <v>4.2205599999999999</v>
      </c>
      <c r="G20" s="30">
        <v>4.149</v>
      </c>
      <c r="H20" s="30">
        <v>3.9385300000000001</v>
      </c>
      <c r="I20" s="30">
        <v>4.18</v>
      </c>
      <c r="J20" s="30">
        <v>4.78</v>
      </c>
      <c r="K20" s="30">
        <v>4.75</v>
      </c>
      <c r="L20" s="30">
        <v>4.47</v>
      </c>
      <c r="M20" s="30">
        <v>4.18</v>
      </c>
      <c r="N20" s="30">
        <v>3.99</v>
      </c>
      <c r="O20" s="30">
        <v>3.78</v>
      </c>
      <c r="P20" s="30">
        <v>3.59</v>
      </c>
      <c r="Q20" s="30">
        <v>3.22</v>
      </c>
      <c r="R20" s="30">
        <v>3.22</v>
      </c>
      <c r="S20" s="30">
        <v>2.64</v>
      </c>
      <c r="T20" s="30">
        <v>2.35</v>
      </c>
      <c r="U20" s="30">
        <v>2.08</v>
      </c>
      <c r="V20" s="30">
        <v>1.83</v>
      </c>
      <c r="W20" s="1">
        <v>1.66</v>
      </c>
      <c r="X20" s="30">
        <v>1.48</v>
      </c>
      <c r="Y20" s="30">
        <v>1.1299999999999999</v>
      </c>
      <c r="Z20" s="30">
        <v>3.32</v>
      </c>
      <c r="AA20" s="30">
        <v>5.98</v>
      </c>
      <c r="AB20" s="30">
        <v>7.24</v>
      </c>
      <c r="AC20" s="30">
        <v>6.93</v>
      </c>
      <c r="AD20" s="30">
        <v>7.09</v>
      </c>
      <c r="AE20" s="29">
        <v>6.26</v>
      </c>
      <c r="AF20" s="40">
        <f t="shared" si="0"/>
        <v>-0.11706629055007056</v>
      </c>
      <c r="AG20" s="40">
        <f t="shared" si="1"/>
        <v>4.6822742474916357E-2</v>
      </c>
      <c r="AI20" s="73"/>
    </row>
    <row r="21" spans="1:35" s="30" customFormat="1" x14ac:dyDescent="0.25">
      <c r="A21" s="30" t="s">
        <v>78</v>
      </c>
      <c r="B21" s="30">
        <v>1.2070000000000001</v>
      </c>
      <c r="C21" s="30">
        <v>1.367</v>
      </c>
      <c r="D21" s="30">
        <v>1.4194</v>
      </c>
      <c r="E21" s="30">
        <v>0.98841999999999997</v>
      </c>
      <c r="F21" s="30">
        <v>1.9958800000000001</v>
      </c>
      <c r="G21" s="30">
        <v>2.4950000000000001</v>
      </c>
      <c r="H21" s="30">
        <v>2.22953</v>
      </c>
      <c r="I21" s="30">
        <v>1.81</v>
      </c>
      <c r="J21" s="30">
        <v>2.36</v>
      </c>
      <c r="K21" s="30">
        <v>3.06</v>
      </c>
      <c r="L21" s="30">
        <f>3.56+0.3+0.79+0.12-0.01</f>
        <v>4.7600000000000007</v>
      </c>
      <c r="M21" s="30">
        <v>5.61</v>
      </c>
      <c r="N21" s="30">
        <v>6.55</v>
      </c>
      <c r="O21" s="30">
        <v>6.07</v>
      </c>
      <c r="P21" s="30">
        <v>9.42</v>
      </c>
      <c r="Q21" s="30">
        <v>8.9700000000000006</v>
      </c>
      <c r="R21" s="30">
        <v>9.7200000000000006</v>
      </c>
      <c r="S21" s="30">
        <v>7.04</v>
      </c>
      <c r="T21" s="30">
        <v>6.07</v>
      </c>
      <c r="U21" s="30">
        <v>5.63</v>
      </c>
      <c r="V21" s="30">
        <v>5.0999999999999996</v>
      </c>
      <c r="W21" s="1">
        <v>3.92</v>
      </c>
      <c r="X21" s="30">
        <v>3.36</v>
      </c>
      <c r="Y21" s="30">
        <v>3</v>
      </c>
      <c r="Z21" s="30">
        <v>2.3199999999999998</v>
      </c>
      <c r="AA21" s="30">
        <v>1.7</v>
      </c>
      <c r="AB21" s="30">
        <v>1.53</v>
      </c>
      <c r="AC21" s="30">
        <v>1.01</v>
      </c>
      <c r="AD21" s="30">
        <v>0.95</v>
      </c>
      <c r="AE21" s="29">
        <v>1.75</v>
      </c>
      <c r="AF21" s="40">
        <f t="shared" si="0"/>
        <v>0.84210526315789491</v>
      </c>
      <c r="AG21" s="40">
        <f t="shared" si="1"/>
        <v>2.941176470588247E-2</v>
      </c>
      <c r="AI21" s="73"/>
    </row>
    <row r="22" spans="1:35" s="30" customFormat="1" x14ac:dyDescent="0.25">
      <c r="A22" s="30" t="s">
        <v>196</v>
      </c>
      <c r="B22" s="30">
        <v>8.9380000000000006</v>
      </c>
      <c r="C22" s="30">
        <v>7.6440000000000001</v>
      </c>
      <c r="D22" s="30">
        <v>7.5858400000000001</v>
      </c>
      <c r="E22" s="30">
        <v>7.5584699999999998</v>
      </c>
      <c r="F22" s="30">
        <v>7.7574069999999997</v>
      </c>
      <c r="G22" s="30">
        <v>6.7110000000000003</v>
      </c>
      <c r="H22" s="30">
        <v>6.7125700000000004</v>
      </c>
      <c r="I22" s="30">
        <v>6.97</v>
      </c>
      <c r="J22" s="30">
        <v>6.67</v>
      </c>
      <c r="K22" s="30">
        <v>5.43</v>
      </c>
      <c r="L22" s="30">
        <v>5.43</v>
      </c>
      <c r="M22" s="30">
        <f>5.4+1.17+0.12</f>
        <v>6.69</v>
      </c>
      <c r="N22" s="30">
        <v>6.03</v>
      </c>
      <c r="O22" s="30">
        <v>3.64</v>
      </c>
      <c r="P22" s="30">
        <v>5.24</v>
      </c>
      <c r="Q22" s="30">
        <f>3.66+1.24+0.31+0.01</f>
        <v>5.22</v>
      </c>
      <c r="R22" s="30">
        <v>3.69</v>
      </c>
      <c r="S22" s="30">
        <f>2.63+1.42+0.37+0.07</f>
        <v>4.49</v>
      </c>
      <c r="T22" s="30">
        <v>4.5199999999999996</v>
      </c>
      <c r="U22" s="30">
        <v>5.66</v>
      </c>
      <c r="V22" s="30">
        <f>3.7+0.07+0.37+1.54</f>
        <v>5.68</v>
      </c>
      <c r="W22" s="1">
        <v>5.2</v>
      </c>
      <c r="X22" s="30">
        <f>3.46+0.37+1.69+0.07</f>
        <v>5.59</v>
      </c>
      <c r="Y22" s="30">
        <v>5.15</v>
      </c>
      <c r="Z22" s="30">
        <v>6.15</v>
      </c>
      <c r="AA22" s="30">
        <f>2.67+0.09+0.4+2</f>
        <v>5.16</v>
      </c>
      <c r="AB22" s="30">
        <f>2.42+2.17+0.39+0.09</f>
        <v>5.0699999999999994</v>
      </c>
      <c r="AC22" s="30">
        <v>4.3099999999999996</v>
      </c>
      <c r="AD22" s="30">
        <v>4.16</v>
      </c>
      <c r="AE22" s="29">
        <v>5.92</v>
      </c>
      <c r="AF22" s="40">
        <f t="shared" si="0"/>
        <v>0.42307692307692291</v>
      </c>
      <c r="AG22" s="40">
        <f t="shared" si="1"/>
        <v>0.1472868217054264</v>
      </c>
      <c r="AI22" s="73"/>
    </row>
    <row r="23" spans="1:35" s="28" customFormat="1" ht="15.6" x14ac:dyDescent="0.3">
      <c r="A23" s="28" t="s">
        <v>38</v>
      </c>
      <c r="B23" s="28">
        <v>42.219000000000001</v>
      </c>
      <c r="C23" s="28">
        <v>41.014000000000003</v>
      </c>
      <c r="D23" s="28">
        <v>36.975810000000003</v>
      </c>
      <c r="E23" s="28">
        <v>39.468739999999997</v>
      </c>
      <c r="F23" s="28">
        <v>43.807560000000002</v>
      </c>
      <c r="G23" s="28">
        <v>48.09</v>
      </c>
      <c r="H23" s="28">
        <v>46.284460000000003</v>
      </c>
      <c r="I23" s="28">
        <v>48.25</v>
      </c>
      <c r="J23" s="28">
        <v>52.99</v>
      </c>
      <c r="K23" s="28">
        <v>56.17</v>
      </c>
      <c r="L23" s="28">
        <v>54.11</v>
      </c>
      <c r="M23" s="28">
        <v>64.08</v>
      </c>
      <c r="N23" s="28">
        <v>69.94</v>
      </c>
      <c r="O23" s="28">
        <v>75.05</v>
      </c>
      <c r="P23" s="28">
        <v>67.92</v>
      </c>
      <c r="Q23" s="28">
        <v>73.069999999999993</v>
      </c>
      <c r="R23" s="28">
        <v>79.290000000000006</v>
      </c>
      <c r="S23" s="28">
        <v>90.5</v>
      </c>
      <c r="T23" s="28">
        <v>96.21</v>
      </c>
      <c r="U23" s="28">
        <v>89.89</v>
      </c>
      <c r="V23" s="28">
        <v>88.42</v>
      </c>
      <c r="W23" s="4">
        <v>93.65</v>
      </c>
      <c r="X23" s="28">
        <v>97.03</v>
      </c>
      <c r="Y23" s="28">
        <v>103.81</v>
      </c>
      <c r="Z23" s="28">
        <v>114.84</v>
      </c>
      <c r="AA23" s="28">
        <v>132.69</v>
      </c>
      <c r="AB23" s="28">
        <v>128.09</v>
      </c>
      <c r="AC23" s="28">
        <v>139.29</v>
      </c>
      <c r="AD23" s="28">
        <v>125.03</v>
      </c>
      <c r="AE23" s="35">
        <v>124.96</v>
      </c>
      <c r="AF23" s="39">
        <f t="shared" si="0"/>
        <v>-5.5986563224830199E-4</v>
      </c>
      <c r="AG23" s="39">
        <f t="shared" si="1"/>
        <v>-5.8256085613083153E-2</v>
      </c>
      <c r="AI23" s="72"/>
    </row>
    <row r="24" spans="1:35" s="30" customFormat="1" ht="15.6" x14ac:dyDescent="0.3">
      <c r="A24" s="30" t="s">
        <v>79</v>
      </c>
      <c r="B24" s="30">
        <v>11.003</v>
      </c>
      <c r="C24" s="30">
        <v>13.885</v>
      </c>
      <c r="D24" s="30">
        <v>14.427960000000001</v>
      </c>
      <c r="E24" s="30">
        <v>15.008649999999999</v>
      </c>
      <c r="F24" s="30">
        <v>14.36107</v>
      </c>
      <c r="G24" s="30">
        <v>16.079999999999998</v>
      </c>
      <c r="H24" s="30">
        <v>13.48868</v>
      </c>
      <c r="I24" s="30">
        <v>14.02</v>
      </c>
      <c r="J24" s="30">
        <v>18.34</v>
      </c>
      <c r="K24" s="30">
        <v>17.579999999999998</v>
      </c>
      <c r="L24" s="30">
        <v>19.309999999999999</v>
      </c>
      <c r="M24" s="30">
        <v>22.97</v>
      </c>
      <c r="N24" s="30">
        <v>22.94</v>
      </c>
      <c r="O24" s="30">
        <f>24.52-0.8</f>
        <v>23.72</v>
      </c>
      <c r="P24" s="30">
        <v>27.47</v>
      </c>
      <c r="Q24" s="30">
        <v>29.43</v>
      </c>
      <c r="R24" s="30">
        <v>32.31</v>
      </c>
      <c r="S24" s="30">
        <v>34</v>
      </c>
      <c r="T24" s="30">
        <v>37</v>
      </c>
      <c r="U24" s="30">
        <v>33.11</v>
      </c>
      <c r="V24" s="30">
        <v>34.18</v>
      </c>
      <c r="W24" s="1">
        <v>34.96</v>
      </c>
      <c r="X24" s="30">
        <v>43.19</v>
      </c>
      <c r="Y24" s="30">
        <v>46.25</v>
      </c>
      <c r="Z24" s="30">
        <v>48.65</v>
      </c>
      <c r="AA24" s="30">
        <v>52.62</v>
      </c>
      <c r="AB24" s="30">
        <v>56.91</v>
      </c>
      <c r="AC24" s="30">
        <v>59.18</v>
      </c>
      <c r="AD24" s="30">
        <v>62.35</v>
      </c>
      <c r="AE24" s="29">
        <v>51.07</v>
      </c>
      <c r="AF24" s="40">
        <f t="shared" si="0"/>
        <v>-0.18091419406575782</v>
      </c>
      <c r="AG24" s="40">
        <f t="shared" si="1"/>
        <v>-2.9456480425693599E-2</v>
      </c>
      <c r="AH24" s="28"/>
      <c r="AI24" s="73"/>
    </row>
    <row r="25" spans="1:35" s="30" customFormat="1" x14ac:dyDescent="0.25">
      <c r="A25" s="30" t="s">
        <v>80</v>
      </c>
      <c r="B25" s="30">
        <v>4.7679999999999998</v>
      </c>
      <c r="C25" s="30">
        <v>4.1550000000000002</v>
      </c>
      <c r="D25" s="30">
        <v>4.4484300000000001</v>
      </c>
      <c r="E25" s="30">
        <v>4.59239</v>
      </c>
      <c r="F25" s="30">
        <v>5.8044000000000002</v>
      </c>
      <c r="G25" s="30">
        <v>4.3739999999999997</v>
      </c>
      <c r="H25" s="30">
        <v>6.7157099999999996</v>
      </c>
      <c r="I25" s="30">
        <v>7.23</v>
      </c>
      <c r="J25" s="30">
        <v>5.52</v>
      </c>
      <c r="K25" s="30">
        <v>6.82</v>
      </c>
      <c r="L25" s="30">
        <v>8.7799999999999994</v>
      </c>
      <c r="M25" s="30">
        <v>8.02</v>
      </c>
      <c r="N25" s="30">
        <v>10.26</v>
      </c>
      <c r="O25" s="30">
        <v>9.66</v>
      </c>
      <c r="P25" s="30">
        <v>8.9499999999999993</v>
      </c>
      <c r="Q25" s="30">
        <v>17.14</v>
      </c>
      <c r="R25" s="30">
        <v>18.09</v>
      </c>
      <c r="S25" s="30">
        <v>15.85</v>
      </c>
      <c r="T25" s="30">
        <v>16.52</v>
      </c>
      <c r="U25" s="30">
        <v>16.5</v>
      </c>
      <c r="V25" s="30">
        <v>20.87</v>
      </c>
      <c r="W25" s="1">
        <v>18.48</v>
      </c>
      <c r="X25" s="30">
        <v>16.079999999999998</v>
      </c>
      <c r="Y25" s="30">
        <v>15.89</v>
      </c>
      <c r="Z25" s="30">
        <v>15.49</v>
      </c>
      <c r="AA25" s="30">
        <v>14.84</v>
      </c>
      <c r="AB25" s="30">
        <v>14.36</v>
      </c>
      <c r="AC25" s="30">
        <v>14.46</v>
      </c>
      <c r="AD25" s="30">
        <v>13.69</v>
      </c>
      <c r="AE25" s="29">
        <v>14.52</v>
      </c>
      <c r="AF25" s="40">
        <f t="shared" si="0"/>
        <v>6.0628195763331005E-2</v>
      </c>
      <c r="AG25" s="40">
        <f t="shared" si="1"/>
        <v>-2.1563342318059342E-2</v>
      </c>
      <c r="AI25" s="73"/>
    </row>
    <row r="26" spans="1:35" s="30" customFormat="1" x14ac:dyDescent="0.25">
      <c r="A26" s="30" t="s">
        <v>81</v>
      </c>
      <c r="B26" s="30">
        <v>21.260999999999999</v>
      </c>
      <c r="C26" s="30">
        <v>17.181000000000001</v>
      </c>
      <c r="D26" s="30">
        <v>12.296720000000001</v>
      </c>
      <c r="E26" s="30">
        <v>14.35238</v>
      </c>
      <c r="F26" s="30">
        <v>15.56607</v>
      </c>
      <c r="G26" s="30">
        <v>21.100999999999999</v>
      </c>
      <c r="H26" s="30">
        <v>19.199719999999999</v>
      </c>
      <c r="I26" s="30">
        <v>16.91</v>
      </c>
      <c r="J26" s="30">
        <v>18.29</v>
      </c>
      <c r="K26" s="30">
        <v>21.29</v>
      </c>
      <c r="L26" s="30">
        <v>14.26</v>
      </c>
      <c r="M26" s="30">
        <f>19.09</f>
        <v>19.09</v>
      </c>
      <c r="N26" s="30">
        <v>22.7</v>
      </c>
      <c r="O26" s="30">
        <v>29.88</v>
      </c>
      <c r="P26" s="30">
        <v>19.13</v>
      </c>
      <c r="Q26" s="30">
        <v>15.21</v>
      </c>
      <c r="R26" s="30">
        <v>17.96</v>
      </c>
      <c r="S26" s="30">
        <v>29.99</v>
      </c>
      <c r="T26" s="30">
        <v>29.54</v>
      </c>
      <c r="U26" s="30">
        <v>23</v>
      </c>
      <c r="V26" s="30">
        <v>18.13</v>
      </c>
      <c r="W26" s="30">
        <v>27.15</v>
      </c>
      <c r="X26" s="30">
        <v>25.12</v>
      </c>
      <c r="Y26" s="30">
        <v>29.53</v>
      </c>
      <c r="Z26" s="30">
        <v>35.31</v>
      </c>
      <c r="AA26" s="30">
        <v>49.54</v>
      </c>
      <c r="AB26" s="30">
        <v>37.54</v>
      </c>
      <c r="AC26" s="30">
        <v>46.52</v>
      </c>
      <c r="AD26" s="30">
        <v>29.67</v>
      </c>
      <c r="AE26" s="29">
        <v>40.369999999999997</v>
      </c>
      <c r="AF26" s="40">
        <f t="shared" si="0"/>
        <v>0.36063363667003689</v>
      </c>
      <c r="AG26" s="40">
        <f t="shared" si="1"/>
        <v>-0.18510294711344377</v>
      </c>
      <c r="AI26" s="73"/>
    </row>
    <row r="27" spans="1:35" s="30" customFormat="1" x14ac:dyDescent="0.25">
      <c r="A27" s="30" t="s">
        <v>82</v>
      </c>
      <c r="B27" s="30">
        <v>3.3809999999999998</v>
      </c>
      <c r="C27" s="30">
        <v>4.2569999999999997</v>
      </c>
      <c r="D27" s="30">
        <v>4.0276500000000004</v>
      </c>
      <c r="E27" s="30">
        <v>3.6376900000000001</v>
      </c>
      <c r="F27" s="30">
        <v>4.6780499999999998</v>
      </c>
      <c r="G27" s="30">
        <v>4.7350000000000003</v>
      </c>
      <c r="H27" s="30">
        <v>4.51206</v>
      </c>
      <c r="I27" s="30">
        <v>5.75</v>
      </c>
      <c r="J27" s="30">
        <v>5.15</v>
      </c>
      <c r="K27" s="30">
        <v>6.06</v>
      </c>
      <c r="L27" s="30">
        <v>6.24</v>
      </c>
      <c r="M27" s="30">
        <v>7.92</v>
      </c>
      <c r="N27" s="30">
        <v>6.74</v>
      </c>
      <c r="O27" s="30">
        <v>7.25</v>
      </c>
      <c r="P27" s="30">
        <v>7.37</v>
      </c>
      <c r="Q27" s="30">
        <f>7.71</f>
        <v>7.71</v>
      </c>
      <c r="R27" s="30">
        <v>6.45</v>
      </c>
      <c r="S27" s="30">
        <v>6.6</v>
      </c>
      <c r="T27" s="30">
        <v>8.33</v>
      </c>
      <c r="U27" s="30">
        <v>9.32</v>
      </c>
      <c r="V27" s="30">
        <f>6.76</f>
        <v>6.76</v>
      </c>
      <c r="W27" s="30">
        <v>7.43</v>
      </c>
      <c r="X27" s="30">
        <v>5.88</v>
      </c>
      <c r="Y27" s="30">
        <v>5.96</v>
      </c>
      <c r="Z27" s="30">
        <v>5.58</v>
      </c>
      <c r="AA27" s="30">
        <v>5.67</v>
      </c>
      <c r="AB27" s="30">
        <v>7.69</v>
      </c>
      <c r="AC27" s="30">
        <v>9.0399999999999991</v>
      </c>
      <c r="AD27" s="30">
        <v>9.1999999999999993</v>
      </c>
      <c r="AE27" s="29">
        <v>10.119999999999999</v>
      </c>
      <c r="AF27" s="40">
        <f t="shared" si="0"/>
        <v>0.10000000000000009</v>
      </c>
      <c r="AG27" s="40">
        <f t="shared" si="1"/>
        <v>0.78483245149911807</v>
      </c>
      <c r="AI27" s="73"/>
    </row>
    <row r="28" spans="1:35" s="30" customFormat="1" x14ac:dyDescent="0.25">
      <c r="A28" s="30" t="s">
        <v>97</v>
      </c>
      <c r="B28" s="30">
        <v>0.82699999999999996</v>
      </c>
      <c r="C28" s="30">
        <v>0.92700000000000005</v>
      </c>
      <c r="D28" s="30">
        <v>1.2202</v>
      </c>
      <c r="E28" s="30">
        <v>1.7579800000000001</v>
      </c>
      <c r="F28" s="30">
        <v>2.8669899999999999</v>
      </c>
      <c r="G28" s="30">
        <v>1.1830000000000001</v>
      </c>
      <c r="H28" s="30">
        <v>1.76814</v>
      </c>
      <c r="I28" s="30">
        <v>3.82</v>
      </c>
      <c r="J28" s="30">
        <v>4.7300000000000004</v>
      </c>
      <c r="K28" s="30">
        <v>4.22</v>
      </c>
      <c r="L28" s="30">
        <f>0.46+5.06</f>
        <v>5.52</v>
      </c>
      <c r="M28" s="30">
        <v>6.08</v>
      </c>
      <c r="N28" s="30">
        <v>7.3</v>
      </c>
      <c r="O28" s="30">
        <v>4.22</v>
      </c>
      <c r="P28" s="30">
        <v>5</v>
      </c>
      <c r="Q28" s="30">
        <f>2.67+0.63+0.24+0.04</f>
        <v>3.58</v>
      </c>
      <c r="R28" s="30">
        <v>4.4800000000000004</v>
      </c>
      <c r="S28" s="30">
        <f>2.77+0.58+0.7+0.01</f>
        <v>4.0599999999999996</v>
      </c>
      <c r="T28" s="30">
        <v>4.82</v>
      </c>
      <c r="U28" s="30">
        <v>7.96</v>
      </c>
      <c r="V28" s="30">
        <f>0.95+0.58+6.95</f>
        <v>8.48</v>
      </c>
      <c r="W28" s="1">
        <v>5.63</v>
      </c>
      <c r="X28" s="30">
        <f>1.16+0.6+5</f>
        <v>6.76</v>
      </c>
      <c r="Y28" s="30">
        <v>6.18</v>
      </c>
      <c r="Z28" s="30">
        <v>9.81</v>
      </c>
      <c r="AA28" s="30">
        <f>0.44+2.97+6.52+0.09</f>
        <v>10.02</v>
      </c>
      <c r="AB28" s="30">
        <f>0.44+2.35+8.74+0.06</f>
        <v>11.590000000000002</v>
      </c>
      <c r="AC28" s="30">
        <v>10.09</v>
      </c>
      <c r="AD28" s="30">
        <v>10.119999999999999</v>
      </c>
      <c r="AE28" s="29">
        <v>8.8800000000000008</v>
      </c>
      <c r="AF28" s="40">
        <f t="shared" si="0"/>
        <v>-0.12252964426877455</v>
      </c>
      <c r="AG28" s="40">
        <f t="shared" si="1"/>
        <v>-0.11377245508982026</v>
      </c>
      <c r="AI28" s="73"/>
    </row>
    <row r="29" spans="1:35" s="28" customFormat="1" ht="15.6" x14ac:dyDescent="0.3">
      <c r="A29" s="28" t="s">
        <v>39</v>
      </c>
      <c r="B29" s="28">
        <v>93.259</v>
      </c>
      <c r="C29" s="28">
        <v>97.787999999999997</v>
      </c>
      <c r="D29" s="28">
        <v>92.830439999999996</v>
      </c>
      <c r="E29" s="28">
        <v>95.736189999999993</v>
      </c>
      <c r="F29" s="28">
        <v>101.75138</v>
      </c>
      <c r="G29" s="28">
        <v>107.42700000000001</v>
      </c>
      <c r="H29" s="28">
        <v>105.8686</v>
      </c>
      <c r="I29" s="28">
        <f>I17+I19+I23</f>
        <v>108.37</v>
      </c>
      <c r="J29" s="28">
        <f>J17+J19+J23</f>
        <v>117.09</v>
      </c>
      <c r="K29" s="28">
        <v>121.96</v>
      </c>
      <c r="L29" s="28">
        <v>121.2</v>
      </c>
      <c r="M29" s="28">
        <v>133.16999999999999</v>
      </c>
      <c r="N29" s="28">
        <v>141.46</v>
      </c>
      <c r="O29" s="28">
        <v>143.83000000000001</v>
      </c>
      <c r="P29" s="28">
        <v>140.91999999999999</v>
      </c>
      <c r="Q29" s="28">
        <v>143.09</v>
      </c>
      <c r="R29" s="28">
        <v>147.96</v>
      </c>
      <c r="S29" s="28">
        <v>150.32</v>
      </c>
      <c r="T29" s="28">
        <v>157.68</v>
      </c>
      <c r="U29" s="28">
        <v>153.13</v>
      </c>
      <c r="V29" s="28">
        <v>151.63999999999999</v>
      </c>
      <c r="W29" s="4">
        <v>156.47999999999999</v>
      </c>
      <c r="X29" s="28">
        <v>160.27000000000001</v>
      </c>
      <c r="Y29" s="28">
        <v>167.78</v>
      </c>
      <c r="Z29" s="28">
        <v>182.17</v>
      </c>
      <c r="AA29" s="28">
        <v>205.31</v>
      </c>
      <c r="AB29" s="28">
        <v>202.37</v>
      </c>
      <c r="AC29" s="28">
        <v>212.63</v>
      </c>
      <c r="AD29" s="28">
        <v>199.25</v>
      </c>
      <c r="AE29" s="35">
        <v>200.61</v>
      </c>
      <c r="AF29" s="39">
        <f t="shared" si="0"/>
        <v>6.8255959849436998E-3</v>
      </c>
      <c r="AG29" s="39">
        <f t="shared" si="1"/>
        <v>-2.2892211777312266E-2</v>
      </c>
      <c r="AI29" s="72"/>
    </row>
    <row r="30" spans="1:35" s="30" customFormat="1" x14ac:dyDescent="0.25">
      <c r="A30" s="30" t="s">
        <v>40</v>
      </c>
      <c r="B30" s="30">
        <v>5.5213743840790608</v>
      </c>
      <c r="C30" s="30">
        <v>5.912563189633496</v>
      </c>
      <c r="D30" s="30">
        <v>5.8100497737745131</v>
      </c>
      <c r="E30" s="30">
        <v>5.9851345475559725</v>
      </c>
      <c r="F30" s="30">
        <v>6.1014826555829842</v>
      </c>
      <c r="G30" s="30">
        <v>6.3293126273690463</v>
      </c>
      <c r="H30" s="30">
        <v>6.4326373154668222</v>
      </c>
      <c r="I30" s="30">
        <v>6.4971237342972286</v>
      </c>
      <c r="J30" s="30">
        <v>6.7555083856932701</v>
      </c>
      <c r="K30" s="30">
        <v>7.1444745275797832</v>
      </c>
      <c r="L30" s="30">
        <v>7.2833910068249663</v>
      </c>
      <c r="M30" s="30">
        <v>7.3083959730890991</v>
      </c>
      <c r="N30" s="30">
        <v>7.633460534522829</v>
      </c>
      <c r="O30" s="30">
        <v>7.4806524073531273</v>
      </c>
      <c r="P30" s="30">
        <v>7.6056772386737919</v>
      </c>
      <c r="Q30" s="30">
        <v>7.3083959730890991</v>
      </c>
      <c r="R30" s="30">
        <v>7.2292135799193451</v>
      </c>
      <c r="S30" s="30">
        <v>6.3415372775426224</v>
      </c>
      <c r="T30" s="30">
        <v>6.7416167377687515</v>
      </c>
      <c r="U30" s="30">
        <v>6.9277648199572965</v>
      </c>
      <c r="V30" s="30">
        <v>7.0305630145987328</v>
      </c>
      <c r="W30" s="1">
        <v>7.2306027447117964</v>
      </c>
      <c r="X30" s="30">
        <v>7.3361792689381362</v>
      </c>
      <c r="Y30" s="30">
        <v>7.5987314147115335</v>
      </c>
      <c r="Z30" s="30">
        <v>7.7154212572774865</v>
      </c>
      <c r="AA30" s="30">
        <v>8.3000000000000007</v>
      </c>
      <c r="AB30" s="30">
        <v>8.4</v>
      </c>
      <c r="AC30" s="30">
        <v>8.49</v>
      </c>
      <c r="AD30" s="30">
        <v>8.6199999999999992</v>
      </c>
      <c r="AE30" s="29">
        <v>8.57</v>
      </c>
      <c r="AF30" s="40">
        <f t="shared" si="0"/>
        <v>-5.8004640371228655E-3</v>
      </c>
      <c r="AG30" s="40">
        <f t="shared" si="1"/>
        <v>3.2530120481927716E-2</v>
      </c>
      <c r="AI30" s="73"/>
    </row>
    <row r="31" spans="1:35" x14ac:dyDescent="0.25">
      <c r="AF31" s="1"/>
      <c r="AG31" s="1"/>
    </row>
    <row r="32" spans="1:35" x14ac:dyDescent="0.25">
      <c r="AF32" s="42"/>
      <c r="AG32" s="33"/>
    </row>
    <row r="33" spans="32:33" x14ac:dyDescent="0.25">
      <c r="AF33" s="42"/>
      <c r="AG33" s="33"/>
    </row>
    <row r="34" spans="32:33" x14ac:dyDescent="0.25">
      <c r="AG34" s="6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8"/>
  <sheetViews>
    <sheetView zoomScale="80" zoomScaleNormal="80" workbookViewId="0">
      <pane xSplit="1" ySplit="1" topLeftCell="U2" activePane="bottomRight" state="frozenSplit"/>
      <selection pane="topRight" activeCell="B1" sqref="B1"/>
      <selection pane="bottomLeft" activeCell="A39" sqref="A39"/>
      <selection pane="bottomRight" activeCell="Y25" sqref="Y25"/>
    </sheetView>
  </sheetViews>
  <sheetFormatPr defaultColWidth="10.54296875" defaultRowHeight="15" x14ac:dyDescent="0.25"/>
  <cols>
    <col min="1" max="1" width="41.1796875" style="1" customWidth="1"/>
    <col min="2" max="28" width="10.54296875" style="1" customWidth="1"/>
    <col min="29" max="29" width="10.54296875" style="8" customWidth="1"/>
    <col min="30" max="31" width="10" style="3" bestFit="1" customWidth="1"/>
    <col min="32" max="32" width="10.54296875" style="1" customWidth="1"/>
    <col min="33" max="16384" width="10.54296875" style="1"/>
  </cols>
  <sheetData>
    <row r="1" spans="1:31" s="4" customFormat="1" ht="15.6" x14ac:dyDescent="0.3">
      <c r="A1" s="30" t="s">
        <v>106</v>
      </c>
      <c r="B1" s="28" t="s">
        <v>88</v>
      </c>
      <c r="C1" s="28" t="s">
        <v>89</v>
      </c>
      <c r="D1" s="28" t="s">
        <v>90</v>
      </c>
      <c r="E1" s="28" t="s">
        <v>91</v>
      </c>
      <c r="F1" s="28" t="s">
        <v>92</v>
      </c>
      <c r="G1" s="28" t="s">
        <v>138</v>
      </c>
      <c r="H1" s="28" t="s">
        <v>139</v>
      </c>
      <c r="I1" s="28" t="s">
        <v>143</v>
      </c>
      <c r="J1" s="28" t="s">
        <v>144</v>
      </c>
      <c r="K1" s="28" t="s">
        <v>146</v>
      </c>
      <c r="L1" s="28" t="s">
        <v>148</v>
      </c>
      <c r="M1" s="28" t="s">
        <v>150</v>
      </c>
      <c r="N1" s="28" t="s">
        <v>152</v>
      </c>
      <c r="O1" s="28" t="s">
        <v>154</v>
      </c>
      <c r="P1" s="28" t="s">
        <v>156</v>
      </c>
      <c r="Q1" s="28" t="s">
        <v>158</v>
      </c>
      <c r="R1" s="28" t="s">
        <v>160</v>
      </c>
      <c r="S1" s="28" t="s">
        <v>176</v>
      </c>
      <c r="T1" s="28" t="s">
        <v>178</v>
      </c>
      <c r="U1" s="28" t="s">
        <v>180</v>
      </c>
      <c r="V1" s="28" t="s">
        <v>182</v>
      </c>
      <c r="W1" s="28" t="s">
        <v>184</v>
      </c>
      <c r="X1" s="28" t="s">
        <v>187</v>
      </c>
      <c r="Y1" s="28" t="s">
        <v>190</v>
      </c>
      <c r="Z1" s="28" t="s">
        <v>191</v>
      </c>
      <c r="AA1" s="28" t="s">
        <v>193</v>
      </c>
      <c r="AB1" s="28" t="s">
        <v>197</v>
      </c>
      <c r="AC1" s="35" t="s">
        <v>199</v>
      </c>
      <c r="AD1" s="41" t="s">
        <v>70</v>
      </c>
      <c r="AE1" s="41" t="s">
        <v>69</v>
      </c>
    </row>
    <row r="2" spans="1:31" s="10" customFormat="1" ht="15.6" x14ac:dyDescent="0.3">
      <c r="A2" s="10" t="s">
        <v>42</v>
      </c>
      <c r="AD2" s="11"/>
      <c r="AE2" s="11"/>
    </row>
    <row r="3" spans="1:31" x14ac:dyDescent="0.25">
      <c r="A3" s="30" t="s">
        <v>164</v>
      </c>
      <c r="B3" s="30">
        <v>-0.79154000000000002</v>
      </c>
      <c r="C3" s="30">
        <v>1.47777</v>
      </c>
      <c r="D3" s="30">
        <v>1.22821</v>
      </c>
      <c r="E3" s="30">
        <v>2.0459999999999998</v>
      </c>
      <c r="F3" s="30">
        <v>0.82</v>
      </c>
      <c r="G3" s="30">
        <v>1.49</v>
      </c>
      <c r="H3" s="30">
        <v>1.73</v>
      </c>
      <c r="I3" s="30">
        <v>4.629999999999999</v>
      </c>
      <c r="J3" s="30">
        <v>0.99</v>
      </c>
      <c r="K3" s="30">
        <v>1.7300000000000002</v>
      </c>
      <c r="L3" s="30">
        <f>4.79-K3-J3</f>
        <v>2.0699999999999994</v>
      </c>
      <c r="M3" s="30">
        <v>0.25</v>
      </c>
      <c r="N3" s="30">
        <v>1.08</v>
      </c>
      <c r="O3" s="30">
        <v>-2.0299999999999998</v>
      </c>
      <c r="P3" s="30">
        <v>1.08</v>
      </c>
      <c r="Q3" s="30">
        <v>-5.07</v>
      </c>
      <c r="R3" s="30">
        <v>3.31</v>
      </c>
      <c r="S3" s="30">
        <v>2.9499999999999997</v>
      </c>
      <c r="T3" s="30">
        <v>0.94</v>
      </c>
      <c r="U3" s="30">
        <f>1.73-0.281-0.01</f>
        <v>1.4389999999999998</v>
      </c>
      <c r="V3" s="30">
        <v>-0.48</v>
      </c>
      <c r="W3" s="30">
        <v>1.8</v>
      </c>
      <c r="X3" s="30">
        <v>0.01</v>
      </c>
      <c r="Y3" s="30">
        <f>0.18</f>
        <v>0.18</v>
      </c>
      <c r="Z3" s="30">
        <v>1.3</v>
      </c>
      <c r="AA3" s="30">
        <v>0.87</v>
      </c>
      <c r="AB3" s="30">
        <v>0.81</v>
      </c>
      <c r="AC3" s="29">
        <v>0.16</v>
      </c>
      <c r="AD3" s="44">
        <f>AC3/AB3-1</f>
        <v>-0.80246913580246915</v>
      </c>
      <c r="AE3" s="44">
        <f>AC3/Y3-1</f>
        <v>-0.11111111111111105</v>
      </c>
    </row>
    <row r="4" spans="1:31" x14ac:dyDescent="0.25">
      <c r="A4" s="30" t="s">
        <v>43</v>
      </c>
      <c r="B4" s="30">
        <v>2.38307</v>
      </c>
      <c r="C4" s="30">
        <v>-0.80447999999999997</v>
      </c>
      <c r="D4" s="30">
        <v>1.0454000000000001</v>
      </c>
      <c r="E4" s="30">
        <v>-0.13700000000000001</v>
      </c>
      <c r="F4" s="30">
        <v>2.86</v>
      </c>
      <c r="G4" s="30">
        <v>1.26</v>
      </c>
      <c r="H4" s="30">
        <v>-2.09</v>
      </c>
      <c r="I4" s="30">
        <v>-2.2300000000000004</v>
      </c>
      <c r="J4" s="30">
        <v>-1.19</v>
      </c>
      <c r="K4" s="30">
        <v>-1.96</v>
      </c>
      <c r="L4" s="30">
        <f>-3.28-J4-K4</f>
        <v>-0.12999999999999989</v>
      </c>
      <c r="M4" s="30">
        <v>8.98</v>
      </c>
      <c r="N4" s="30">
        <v>-0.04</v>
      </c>
      <c r="O4" s="30">
        <v>-7.56</v>
      </c>
      <c r="P4" s="30">
        <v>-0.11</v>
      </c>
      <c r="Q4" s="30">
        <v>10.31</v>
      </c>
      <c r="R4" s="30">
        <v>-2.56</v>
      </c>
      <c r="S4" s="30">
        <v>0.19</v>
      </c>
      <c r="T4" s="30">
        <v>-3.91</v>
      </c>
      <c r="U4" s="30">
        <f>4.37+0.68-0.07+1.48</f>
        <v>6.4599999999999991</v>
      </c>
      <c r="V4" s="30">
        <v>-6</v>
      </c>
      <c r="W4" s="30">
        <v>-0.06</v>
      </c>
      <c r="X4" s="30">
        <v>2.39</v>
      </c>
      <c r="Y4" s="30">
        <v>6.11</v>
      </c>
      <c r="Z4" s="30">
        <v>-6.33</v>
      </c>
      <c r="AA4" s="30">
        <v>2.31</v>
      </c>
      <c r="AB4" s="30">
        <v>5.15</v>
      </c>
      <c r="AC4" s="29">
        <v>13.64</v>
      </c>
      <c r="AD4" s="44">
        <f t="shared" ref="AD4:AD27" si="0">AC4/AB4-1</f>
        <v>1.6485436893203884</v>
      </c>
      <c r="AE4" s="44">
        <f t="shared" ref="AE4:AE27" si="1">AC4/Y4-1</f>
        <v>1.2324058919803602</v>
      </c>
    </row>
    <row r="5" spans="1:31" x14ac:dyDescent="0.25">
      <c r="A5" s="30" t="s">
        <v>44</v>
      </c>
      <c r="B5" s="30">
        <v>1.0294399999999999</v>
      </c>
      <c r="C5" s="30">
        <v>1.00759</v>
      </c>
      <c r="D5" s="30">
        <v>1.12782</v>
      </c>
      <c r="E5" s="30">
        <v>1.2889999999999999</v>
      </c>
      <c r="F5" s="30">
        <v>1.2347699999999999</v>
      </c>
      <c r="G5" s="30">
        <v>1.22</v>
      </c>
      <c r="H5" s="30">
        <v>1.28</v>
      </c>
      <c r="I5" s="30">
        <v>1.2952300000000003</v>
      </c>
      <c r="J5" s="30">
        <v>1.5</v>
      </c>
      <c r="K5" s="30">
        <v>1.6099999999999999</v>
      </c>
      <c r="L5" s="30">
        <f>4.79-J5-K5</f>
        <v>1.6800000000000002</v>
      </c>
      <c r="M5" s="30">
        <v>2.0499999999999998</v>
      </c>
      <c r="N5" s="30">
        <v>1.98</v>
      </c>
      <c r="O5" s="30">
        <v>2.09</v>
      </c>
      <c r="P5" s="30">
        <v>1.99</v>
      </c>
      <c r="Q5" s="30">
        <v>2.23</v>
      </c>
      <c r="R5" s="30">
        <v>2.2999999999999998</v>
      </c>
      <c r="S5" s="30">
        <v>2.2400000000000002</v>
      </c>
      <c r="T5" s="30">
        <v>2.4500000000000002</v>
      </c>
      <c r="U5" s="30">
        <f>2.54+0.08+0.13</f>
        <v>2.75</v>
      </c>
      <c r="V5" s="30">
        <v>2.57</v>
      </c>
      <c r="W5" s="30">
        <v>2.61</v>
      </c>
      <c r="X5" s="30">
        <v>2.15</v>
      </c>
      <c r="Y5" s="30">
        <v>2.9200000000000004</v>
      </c>
      <c r="Z5" s="30">
        <v>2.68</v>
      </c>
      <c r="AA5" s="30">
        <v>3</v>
      </c>
      <c r="AB5" s="30">
        <v>2.88</v>
      </c>
      <c r="AC5" s="29">
        <v>2.57</v>
      </c>
      <c r="AD5" s="44">
        <f t="shared" si="0"/>
        <v>-0.10763888888888895</v>
      </c>
      <c r="AE5" s="44">
        <f t="shared" si="1"/>
        <v>-0.11986301369863028</v>
      </c>
    </row>
    <row r="6" spans="1:31" x14ac:dyDescent="0.25">
      <c r="A6" s="30" t="s">
        <v>45</v>
      </c>
      <c r="B6" s="30">
        <v>0.25012000000000001</v>
      </c>
      <c r="C6" s="30">
        <v>-0.24448</v>
      </c>
      <c r="D6" s="30">
        <v>0.44131999999999999</v>
      </c>
      <c r="E6" s="30">
        <v>0.78</v>
      </c>
      <c r="F6" s="30">
        <v>-0.21937999999999999</v>
      </c>
      <c r="G6" s="30">
        <v>-0.6</v>
      </c>
      <c r="H6" s="30">
        <v>0.83</v>
      </c>
      <c r="I6" s="30">
        <v>-1.3306200000000001</v>
      </c>
      <c r="J6" s="30">
        <v>-0.03</v>
      </c>
      <c r="K6" s="30">
        <v>-0.37</v>
      </c>
      <c r="L6" s="30">
        <f>-0.28-K6-J6</f>
        <v>0.11999999999999997</v>
      </c>
      <c r="M6" s="30">
        <v>0.26</v>
      </c>
      <c r="N6" s="30">
        <v>0.01</v>
      </c>
      <c r="O6" s="30">
        <v>-0.2</v>
      </c>
      <c r="P6" s="30">
        <v>-2.37</v>
      </c>
      <c r="Q6" s="30">
        <v>-0.33</v>
      </c>
      <c r="R6" s="30">
        <v>-0.59</v>
      </c>
      <c r="S6" s="30">
        <v>-1.02</v>
      </c>
      <c r="T6" s="30">
        <v>0.26</v>
      </c>
      <c r="U6" s="30">
        <f>-0.16+1.69-0.6</f>
        <v>0.93</v>
      </c>
      <c r="V6" s="30">
        <v>0.75</v>
      </c>
      <c r="W6" s="30">
        <v>0.84</v>
      </c>
      <c r="X6" s="30">
        <v>0.69</v>
      </c>
      <c r="Y6" s="30">
        <f>-0.17+0.21</f>
        <v>3.999999999999998E-2</v>
      </c>
      <c r="Z6" s="30">
        <v>0.03</v>
      </c>
      <c r="AA6" s="30">
        <v>-0.11</v>
      </c>
      <c r="AB6" s="30">
        <v>0.35</v>
      </c>
      <c r="AC6" s="29">
        <v>-1.19</v>
      </c>
      <c r="AD6" s="44">
        <f t="shared" si="0"/>
        <v>-4.4000000000000004</v>
      </c>
      <c r="AE6" s="44">
        <f t="shared" si="1"/>
        <v>-30.750000000000014</v>
      </c>
    </row>
    <row r="7" spans="1:31" x14ac:dyDescent="0.25">
      <c r="A7" s="30" t="s">
        <v>46</v>
      </c>
      <c r="B7" s="30">
        <v>0.14813000000000001</v>
      </c>
      <c r="C7" s="30">
        <v>-4.4490000000000002E-2</v>
      </c>
      <c r="D7" s="30">
        <v>0.14371999999999999</v>
      </c>
      <c r="E7" s="30">
        <v>0.372</v>
      </c>
      <c r="F7" s="30">
        <v>0.16689999999999999</v>
      </c>
      <c r="G7" s="30">
        <v>0.18</v>
      </c>
      <c r="H7" s="30">
        <v>0.17</v>
      </c>
      <c r="I7" s="30">
        <v>0.21309999999999993</v>
      </c>
      <c r="J7" s="30">
        <v>0.22</v>
      </c>
      <c r="K7" s="30">
        <v>0.26</v>
      </c>
      <c r="L7" s="30">
        <f>0.78-K7-J7</f>
        <v>0.30000000000000004</v>
      </c>
      <c r="M7" s="30">
        <v>0.37</v>
      </c>
      <c r="N7" s="30">
        <v>0.34</v>
      </c>
      <c r="O7" s="30">
        <v>0.34</v>
      </c>
      <c r="P7" s="30">
        <v>0.49</v>
      </c>
      <c r="Q7" s="30">
        <v>0.49</v>
      </c>
      <c r="R7" s="30">
        <v>0.43</v>
      </c>
      <c r="S7" s="30">
        <v>0.3</v>
      </c>
      <c r="T7" s="30">
        <v>0.18</v>
      </c>
      <c r="U7" s="30">
        <f>0.41+0.08-0.24</f>
        <v>0.25</v>
      </c>
      <c r="V7" s="30">
        <v>0.31</v>
      </c>
      <c r="W7" s="30">
        <v>0.28000000000000003</v>
      </c>
      <c r="X7" s="30">
        <v>0.3899999999999999</v>
      </c>
      <c r="Y7" s="30">
        <f>0.7-0.11</f>
        <v>0.59</v>
      </c>
      <c r="Z7" s="30">
        <v>0.75</v>
      </c>
      <c r="AA7" s="30">
        <v>1</v>
      </c>
      <c r="AB7" s="30">
        <v>1.62</v>
      </c>
      <c r="AC7" s="29">
        <v>1.29</v>
      </c>
      <c r="AD7" s="44">
        <f t="shared" si="0"/>
        <v>-0.20370370370370372</v>
      </c>
      <c r="AE7" s="44">
        <f t="shared" si="1"/>
        <v>1.1864406779661021</v>
      </c>
    </row>
    <row r="8" spans="1:31" x14ac:dyDescent="0.25">
      <c r="A8" s="30" t="s">
        <v>47</v>
      </c>
      <c r="B8" s="30">
        <v>0.24176</v>
      </c>
      <c r="C8" s="30">
        <v>0.19389999999999999</v>
      </c>
      <c r="D8" s="30">
        <v>1.4540299999999999</v>
      </c>
      <c r="E8" s="30">
        <v>-1.522</v>
      </c>
      <c r="F8" s="30">
        <v>0.58592</v>
      </c>
      <c r="G8" s="30">
        <v>2.0499999999999998</v>
      </c>
      <c r="H8" s="30">
        <v>2.1800000000000002</v>
      </c>
      <c r="I8" s="30">
        <v>-1.4559200000000003</v>
      </c>
      <c r="J8" s="30">
        <v>1.37</v>
      </c>
      <c r="K8" s="30">
        <v>0.48</v>
      </c>
      <c r="L8" s="30">
        <f>2.26-J8-K8</f>
        <v>0.4099999999999997</v>
      </c>
      <c r="M8" s="30">
        <v>-1.91</v>
      </c>
      <c r="N8" s="30">
        <v>0.63</v>
      </c>
      <c r="O8" s="30">
        <v>-1.37</v>
      </c>
      <c r="P8" s="30">
        <v>1.28</v>
      </c>
      <c r="Q8" s="30">
        <v>-0.98</v>
      </c>
      <c r="R8" s="30">
        <v>0.79</v>
      </c>
      <c r="S8" s="30">
        <v>2.83</v>
      </c>
      <c r="T8" s="30">
        <v>0.68</v>
      </c>
      <c r="U8" s="30">
        <f>0.02-3.03</f>
        <v>-3.01</v>
      </c>
      <c r="V8" s="30">
        <v>-1.81</v>
      </c>
      <c r="W8" s="30">
        <v>2.5499999999999998</v>
      </c>
      <c r="X8" s="30">
        <v>3.7400000000000011</v>
      </c>
      <c r="Y8" s="30">
        <v>0.96999999999999886</v>
      </c>
      <c r="Z8" s="30">
        <v>2.39</v>
      </c>
      <c r="AA8" s="30">
        <v>-3.06</v>
      </c>
      <c r="AB8" s="30">
        <v>-0.57999999999999996</v>
      </c>
      <c r="AC8" s="29">
        <v>0.25</v>
      </c>
      <c r="AD8" s="44">
        <f t="shared" si="0"/>
        <v>-1.4310344827586208</v>
      </c>
      <c r="AE8" s="44">
        <f t="shared" si="1"/>
        <v>-0.7422680412371131</v>
      </c>
    </row>
    <row r="9" spans="1:31" x14ac:dyDescent="0.25">
      <c r="A9" s="30" t="s">
        <v>48</v>
      </c>
      <c r="B9" s="30">
        <v>-0.85567000000000004</v>
      </c>
      <c r="C9" s="30">
        <v>6.701E-2</v>
      </c>
      <c r="D9" s="30">
        <v>-2.1099800000000002</v>
      </c>
      <c r="E9" s="30">
        <v>-2.4020000000000001</v>
      </c>
      <c r="F9" s="30">
        <v>-3.3047300000000002</v>
      </c>
      <c r="G9" s="30">
        <v>1.65</v>
      </c>
      <c r="H9" s="30">
        <v>-1.08</v>
      </c>
      <c r="I9" s="30">
        <v>-2.526999999999946E-2</v>
      </c>
      <c r="J9" s="30">
        <v>1.3</v>
      </c>
      <c r="K9" s="30">
        <v>-1.32</v>
      </c>
      <c r="L9" s="30">
        <f>-7.35-K9-J9</f>
        <v>-7.3299999999999992</v>
      </c>
      <c r="M9" s="30">
        <v>3.81</v>
      </c>
      <c r="N9" s="30">
        <v>-1.04</v>
      </c>
      <c r="O9" s="30">
        <v>-0.32</v>
      </c>
      <c r="P9" s="30">
        <v>-3.6</v>
      </c>
      <c r="Q9" s="30">
        <v>-1.07</v>
      </c>
      <c r="R9" s="30">
        <v>-4.22</v>
      </c>
      <c r="S9" s="30">
        <v>-1.46</v>
      </c>
      <c r="T9" s="30">
        <v>0.01</v>
      </c>
      <c r="U9" s="30">
        <f>-0.03+0.51+1.48</f>
        <v>1.96</v>
      </c>
      <c r="V9" s="30">
        <v>-11.94</v>
      </c>
      <c r="W9" s="30">
        <v>-5.71</v>
      </c>
      <c r="X9" s="30">
        <v>-1.7400000000000011</v>
      </c>
      <c r="Y9" s="30">
        <v>-5.71</v>
      </c>
      <c r="Z9" s="30">
        <v>-9.02</v>
      </c>
      <c r="AA9" s="30">
        <v>2.85</v>
      </c>
      <c r="AB9" s="30">
        <v>6.79</v>
      </c>
      <c r="AC9" s="29">
        <v>1.56</v>
      </c>
      <c r="AD9" s="44">
        <f t="shared" si="0"/>
        <v>-0.77025036818851245</v>
      </c>
      <c r="AE9" s="44">
        <f t="shared" si="1"/>
        <v>-1.2732049036777584</v>
      </c>
    </row>
    <row r="10" spans="1:31" x14ac:dyDescent="0.25">
      <c r="A10" s="30" t="s">
        <v>49</v>
      </c>
      <c r="B10" s="30">
        <v>6.9498600000000001</v>
      </c>
      <c r="C10" s="30">
        <v>-3.1633</v>
      </c>
      <c r="D10" s="30">
        <v>-2.5252400000000002</v>
      </c>
      <c r="E10" s="30">
        <v>-3.2970000000000002</v>
      </c>
      <c r="F10" s="30">
        <v>4.3353599999999997</v>
      </c>
      <c r="G10" s="30">
        <v>-1.67</v>
      </c>
      <c r="H10" s="30">
        <v>-3.73</v>
      </c>
      <c r="I10" s="30">
        <v>-3.2053599999999993</v>
      </c>
      <c r="J10" s="30">
        <v>2.5</v>
      </c>
      <c r="K10" s="30">
        <v>-7.26</v>
      </c>
      <c r="L10" s="30">
        <f>-4.08-J10-K10</f>
        <v>0.67999999999999972</v>
      </c>
      <c r="M10" s="30">
        <v>-2.87</v>
      </c>
      <c r="N10" s="30">
        <v>9.4600000000000009</v>
      </c>
      <c r="O10" s="30">
        <v>-2.61</v>
      </c>
      <c r="P10" s="30">
        <v>-1.01</v>
      </c>
      <c r="Q10" s="30">
        <v>-1.89</v>
      </c>
      <c r="R10" s="30">
        <v>-2.61</v>
      </c>
      <c r="S10" s="30">
        <v>3.13</v>
      </c>
      <c r="T10" s="30">
        <v>1.1100000000000001</v>
      </c>
      <c r="U10" s="30">
        <f>0.56-4.91+0.13</f>
        <v>-4.22</v>
      </c>
      <c r="V10" s="30">
        <v>-0.01</v>
      </c>
      <c r="W10" s="30">
        <v>3.25</v>
      </c>
      <c r="X10" s="30">
        <v>-10.61</v>
      </c>
      <c r="Y10" s="30">
        <f>-6.28+0.88</f>
        <v>-5.4</v>
      </c>
      <c r="Z10" s="30">
        <v>7.84</v>
      </c>
      <c r="AA10" s="30">
        <v>-12.98</v>
      </c>
      <c r="AB10" s="30">
        <v>9.7100000000000009</v>
      </c>
      <c r="AC10" s="29">
        <v>-5.55</v>
      </c>
      <c r="AD10" s="44">
        <f t="shared" si="0"/>
        <v>-1.5715756951596291</v>
      </c>
      <c r="AE10" s="44">
        <f t="shared" si="1"/>
        <v>2.7777777777777679E-2</v>
      </c>
    </row>
    <row r="11" spans="1:31" x14ac:dyDescent="0.25">
      <c r="A11" s="30" t="s">
        <v>50</v>
      </c>
      <c r="B11" s="30">
        <v>-4.83596</v>
      </c>
      <c r="C11" s="30">
        <v>1.3700300000000001</v>
      </c>
      <c r="D11" s="30">
        <v>2.2540499999999999</v>
      </c>
      <c r="E11" s="30">
        <v>5.9459999999999997</v>
      </c>
      <c r="F11" s="30">
        <v>0.20008999999999999</v>
      </c>
      <c r="G11" s="30">
        <v>-1.21</v>
      </c>
      <c r="H11" s="30">
        <v>-1.35</v>
      </c>
      <c r="I11" s="30">
        <v>3.8599100000000002</v>
      </c>
      <c r="J11" s="30">
        <v>-6.85</v>
      </c>
      <c r="K11" s="30">
        <v>5.5299999999999994</v>
      </c>
      <c r="L11" s="30">
        <f>2.14-K11-J11</f>
        <v>3.4600000000000004</v>
      </c>
      <c r="M11" s="30">
        <v>7.86</v>
      </c>
      <c r="N11" s="30">
        <v>-11.4</v>
      </c>
      <c r="O11" s="30">
        <v>-3.55</v>
      </c>
      <c r="P11" s="30">
        <v>2.0099999999999998</v>
      </c>
      <c r="Q11" s="30">
        <v>12.32</v>
      </c>
      <c r="R11" s="30">
        <v>1.87</v>
      </c>
      <c r="S11" s="30">
        <v>-6.08</v>
      </c>
      <c r="T11" s="30">
        <v>-8.0500000000000007</v>
      </c>
      <c r="U11" s="30">
        <f>1.44+8.29+0.51</f>
        <v>10.239999999999998</v>
      </c>
      <c r="V11" s="30">
        <v>4.71</v>
      </c>
      <c r="W11" s="30">
        <v>-4.01</v>
      </c>
      <c r="X11" s="30">
        <v>5.63</v>
      </c>
      <c r="Y11" s="30">
        <f>14.58+0.19</f>
        <v>14.77</v>
      </c>
      <c r="Z11" s="30">
        <v>-10.199999999999999</v>
      </c>
      <c r="AA11" s="30">
        <v>10.45</v>
      </c>
      <c r="AB11" s="30">
        <v>-16.579999999999998</v>
      </c>
      <c r="AC11" s="29">
        <v>14.5</v>
      </c>
      <c r="AD11" s="44">
        <f t="shared" si="0"/>
        <v>-1.8745476477683958</v>
      </c>
      <c r="AE11" s="44">
        <f t="shared" si="1"/>
        <v>-1.8280297901150933E-2</v>
      </c>
    </row>
    <row r="12" spans="1:31" x14ac:dyDescent="0.25">
      <c r="A12" s="30" t="s">
        <v>51</v>
      </c>
      <c r="B12" s="30">
        <v>-0.52107000000000003</v>
      </c>
      <c r="C12" s="30">
        <v>9.2300000000000004E-3</v>
      </c>
      <c r="D12" s="30">
        <v>0.25968000000000002</v>
      </c>
      <c r="E12" s="30">
        <v>-1.302</v>
      </c>
      <c r="F12" s="30">
        <v>-0.13431000000000001</v>
      </c>
      <c r="G12" s="30">
        <v>-0.35</v>
      </c>
      <c r="H12" s="30">
        <v>-0.33</v>
      </c>
      <c r="I12" s="30">
        <v>-1.5356899999999998</v>
      </c>
      <c r="J12" s="30">
        <v>-0.54</v>
      </c>
      <c r="K12" s="30">
        <v>-0.75</v>
      </c>
      <c r="L12" s="30">
        <f>-0.92-J12-K12</f>
        <v>0.37</v>
      </c>
      <c r="M12" s="30">
        <v>-0.63</v>
      </c>
      <c r="N12" s="30">
        <v>-0.09</v>
      </c>
      <c r="O12" s="30">
        <v>-0.59</v>
      </c>
      <c r="P12" s="30">
        <v>-0.33</v>
      </c>
      <c r="Q12" s="30">
        <v>-0.18</v>
      </c>
      <c r="R12" s="30">
        <v>0.02</v>
      </c>
      <c r="S12" s="30">
        <v>0.22</v>
      </c>
      <c r="T12" s="30">
        <v>-0.54</v>
      </c>
      <c r="U12" s="30">
        <f>-0.32-1.18</f>
        <v>-1.5</v>
      </c>
      <c r="V12" s="30">
        <v>-0.63</v>
      </c>
      <c r="W12" s="30">
        <v>0.7</v>
      </c>
      <c r="X12" s="30">
        <v>1.2900000000000003</v>
      </c>
      <c r="Y12" s="30">
        <v>-0.9700000000000002</v>
      </c>
      <c r="Z12" s="30">
        <v>-0.83</v>
      </c>
      <c r="AA12" s="30">
        <v>1.28</v>
      </c>
      <c r="AB12" s="30">
        <v>0.62</v>
      </c>
      <c r="AC12" s="29">
        <v>0.78</v>
      </c>
      <c r="AD12" s="44">
        <f t="shared" si="0"/>
        <v>0.25806451612903225</v>
      </c>
      <c r="AE12" s="44">
        <f t="shared" si="1"/>
        <v>-1.804123711340206</v>
      </c>
    </row>
    <row r="13" spans="1:31" s="4" customFormat="1" ht="15.6" x14ac:dyDescent="0.3">
      <c r="A13" s="28" t="s">
        <v>52</v>
      </c>
      <c r="B13" s="28">
        <v>1.5915299999999999</v>
      </c>
      <c r="C13" s="28">
        <v>0.67329000000000006</v>
      </c>
      <c r="D13" s="28">
        <v>2.2736100000000001</v>
      </c>
      <c r="E13" s="28">
        <v>1.91</v>
      </c>
      <c r="F13" s="28">
        <v>3.6861100000000002</v>
      </c>
      <c r="G13" s="28">
        <v>2.73</v>
      </c>
      <c r="H13" s="28">
        <v>-0.36</v>
      </c>
      <c r="I13" s="28">
        <v>2.4138900000000003</v>
      </c>
      <c r="J13" s="28">
        <v>-0.2</v>
      </c>
      <c r="K13" s="28">
        <v>-0.22999999999999998</v>
      </c>
      <c r="L13" s="28">
        <f>1.5-J13-K13</f>
        <v>1.93</v>
      </c>
      <c r="M13" s="28">
        <v>9.24</v>
      </c>
      <c r="N13" s="28">
        <v>1.0409999999999999</v>
      </c>
      <c r="O13" s="28">
        <v>-9.5500000000000007</v>
      </c>
      <c r="P13" s="28">
        <v>0.93</v>
      </c>
      <c r="Q13" s="28">
        <v>5.24</v>
      </c>
      <c r="R13" s="28">
        <v>0.75</v>
      </c>
      <c r="S13" s="61">
        <v>3.1399999999999997</v>
      </c>
      <c r="T13" s="61">
        <v>-2.98</v>
      </c>
      <c r="U13" s="61">
        <f>6.11+0.4-0.08+1.48</f>
        <v>7.91</v>
      </c>
      <c r="V13" s="61">
        <v>-6.48</v>
      </c>
      <c r="W13" s="61">
        <v>1.74</v>
      </c>
      <c r="X13" s="61">
        <v>2.42</v>
      </c>
      <c r="Y13" s="61">
        <v>6.29</v>
      </c>
      <c r="Z13" s="61">
        <v>-5.03</v>
      </c>
      <c r="AA13" s="61">
        <v>3.18</v>
      </c>
      <c r="AB13" s="61">
        <v>5.96</v>
      </c>
      <c r="AC13" s="59">
        <v>13.8</v>
      </c>
      <c r="AD13" s="41">
        <f t="shared" si="0"/>
        <v>1.3154362416107386</v>
      </c>
      <c r="AE13" s="41">
        <f t="shared" si="1"/>
        <v>1.1939586645469</v>
      </c>
    </row>
    <row r="14" spans="1:31" s="10" customFormat="1" ht="15.6" x14ac:dyDescent="0.3">
      <c r="A14" s="10" t="s">
        <v>53</v>
      </c>
      <c r="AD14" s="11"/>
      <c r="AE14" s="11"/>
    </row>
    <row r="15" spans="1:31" x14ac:dyDescent="0.25">
      <c r="A15" s="30" t="s">
        <v>54</v>
      </c>
      <c r="B15" s="30">
        <v>1.15E-3</v>
      </c>
      <c r="C15" s="30">
        <v>3.0000000000000001E-5</v>
      </c>
      <c r="D15" s="30">
        <v>0</v>
      </c>
      <c r="E15" s="30">
        <v>1.72</v>
      </c>
      <c r="F15" s="30">
        <v>0</v>
      </c>
      <c r="G15" s="30">
        <v>0.02</v>
      </c>
      <c r="H15" s="30">
        <v>0.43</v>
      </c>
      <c r="I15" s="30">
        <v>1.7500000000000002</v>
      </c>
      <c r="J15" s="30">
        <v>1.42</v>
      </c>
      <c r="K15" s="30">
        <v>2.23</v>
      </c>
      <c r="L15" s="30">
        <f>5.3-K15-J15</f>
        <v>1.65</v>
      </c>
      <c r="M15" s="30">
        <v>1.53</v>
      </c>
      <c r="N15" s="30">
        <v>1.9</v>
      </c>
      <c r="O15" s="30">
        <v>0.1</v>
      </c>
      <c r="P15" s="30">
        <v>0.14000000000000001</v>
      </c>
      <c r="Q15" s="30">
        <v>-0.01</v>
      </c>
      <c r="R15" s="30">
        <v>0</v>
      </c>
      <c r="S15" s="30">
        <v>0.06</v>
      </c>
      <c r="T15" s="30">
        <v>0.55000000000000004</v>
      </c>
      <c r="U15" s="30">
        <v>0.12</v>
      </c>
      <c r="V15" s="30">
        <v>0.01</v>
      </c>
      <c r="W15" s="30">
        <v>0.01</v>
      </c>
      <c r="X15" s="30">
        <v>0.05</v>
      </c>
      <c r="Y15" s="30">
        <v>0.09</v>
      </c>
      <c r="Z15" s="30">
        <v>0.43</v>
      </c>
      <c r="AA15" s="30">
        <v>0</v>
      </c>
      <c r="AB15" s="30">
        <v>0.13</v>
      </c>
      <c r="AC15" s="29">
        <v>0.47</v>
      </c>
      <c r="AD15" s="44">
        <f t="shared" si="0"/>
        <v>2.615384615384615</v>
      </c>
      <c r="AE15" s="44">
        <f t="shared" si="1"/>
        <v>4.2222222222222223</v>
      </c>
    </row>
    <row r="16" spans="1:31" ht="30" x14ac:dyDescent="0.25">
      <c r="A16" s="56" t="s">
        <v>63</v>
      </c>
      <c r="B16" s="30">
        <v>1.15E-3</v>
      </c>
      <c r="C16" s="30">
        <v>3.0000000000000001E-5</v>
      </c>
      <c r="D16" s="30">
        <v>0</v>
      </c>
      <c r="E16" s="30">
        <v>1.72</v>
      </c>
      <c r="F16" s="30">
        <v>0</v>
      </c>
      <c r="G16" s="30">
        <v>0.02</v>
      </c>
      <c r="H16" s="30">
        <v>0.02</v>
      </c>
      <c r="I16" s="30">
        <v>1.29</v>
      </c>
      <c r="J16" s="30">
        <v>1.42</v>
      </c>
      <c r="K16" s="30">
        <v>2.2200000000000002</v>
      </c>
      <c r="L16" s="30">
        <f>4.93-K16-J16</f>
        <v>1.2899999999999996</v>
      </c>
      <c r="M16" s="30">
        <v>1.28</v>
      </c>
      <c r="N16" s="30">
        <v>1.9</v>
      </c>
      <c r="O16" s="30">
        <v>0.1</v>
      </c>
      <c r="P16" s="30">
        <v>0.14000000000000001</v>
      </c>
      <c r="Q16" s="30">
        <v>-0.01</v>
      </c>
      <c r="R16" s="30">
        <v>0</v>
      </c>
      <c r="S16" s="30">
        <v>0.06</v>
      </c>
      <c r="T16" s="30">
        <v>0.55000000000000004</v>
      </c>
      <c r="U16" s="30">
        <v>0.12</v>
      </c>
      <c r="V16" s="30">
        <v>0.01</v>
      </c>
      <c r="W16" s="30">
        <v>0.01</v>
      </c>
      <c r="X16" s="30">
        <v>0.05</v>
      </c>
      <c r="Y16" s="30">
        <v>7.9999999999999974E-2</v>
      </c>
      <c r="Z16" s="30">
        <v>0.21</v>
      </c>
      <c r="AA16" s="30">
        <v>0</v>
      </c>
      <c r="AB16" s="30">
        <v>0.5</v>
      </c>
      <c r="AC16" s="29">
        <v>0.4</v>
      </c>
      <c r="AD16" s="44">
        <f t="shared" si="0"/>
        <v>-0.19999999999999996</v>
      </c>
      <c r="AE16" s="44">
        <f t="shared" si="1"/>
        <v>4.0000000000000018</v>
      </c>
    </row>
    <row r="17" spans="1:31" x14ac:dyDescent="0.25">
      <c r="A17" s="56" t="s">
        <v>55</v>
      </c>
      <c r="B17" s="30">
        <v>0.75741999999999998</v>
      </c>
      <c r="C17" s="30">
        <v>0.32103999999999999</v>
      </c>
      <c r="D17" s="30">
        <v>2.87181</v>
      </c>
      <c r="E17" s="30">
        <v>3.6339999999999999</v>
      </c>
      <c r="F17" s="30">
        <v>0.40576000000000001</v>
      </c>
      <c r="G17" s="30">
        <v>1.53</v>
      </c>
      <c r="H17" s="30">
        <v>3.16</v>
      </c>
      <c r="I17" s="30">
        <v>5.604239999999999</v>
      </c>
      <c r="J17" s="30">
        <v>3.5</v>
      </c>
      <c r="K17" s="30">
        <v>4.43</v>
      </c>
      <c r="L17" s="30">
        <f>10.67-K17-J17</f>
        <v>2.74</v>
      </c>
      <c r="M17" s="30">
        <v>5.04</v>
      </c>
      <c r="N17" s="30">
        <v>1.92</v>
      </c>
      <c r="O17" s="30">
        <v>2.02</v>
      </c>
      <c r="P17" s="30">
        <v>2.2400000000000002</v>
      </c>
      <c r="Q17" s="30">
        <v>2.19</v>
      </c>
      <c r="R17" s="30">
        <v>1.73</v>
      </c>
      <c r="S17" s="30">
        <v>1.1200000000000001</v>
      </c>
      <c r="T17" s="30">
        <v>1.73</v>
      </c>
      <c r="U17" s="30">
        <f>1.04-1.11-0.12+1.47</f>
        <v>1.2799999999999998</v>
      </c>
      <c r="V17" s="30">
        <v>1.0900000000000001</v>
      </c>
      <c r="W17" s="30">
        <v>3.84</v>
      </c>
      <c r="X17" s="30">
        <v>5.17</v>
      </c>
      <c r="Y17" s="30">
        <v>6.17</v>
      </c>
      <c r="Z17" s="30">
        <v>3.59</v>
      </c>
      <c r="AA17" s="30">
        <v>3.3</v>
      </c>
      <c r="AB17" s="30">
        <v>3.39</v>
      </c>
      <c r="AC17" s="29">
        <v>1.64</v>
      </c>
      <c r="AD17" s="44">
        <f t="shared" si="0"/>
        <v>-0.51622418879056053</v>
      </c>
      <c r="AE17" s="44">
        <f t="shared" si="1"/>
        <v>-0.73419773095623986</v>
      </c>
    </row>
    <row r="18" spans="1:31" ht="30" x14ac:dyDescent="0.25">
      <c r="A18" s="56" t="s">
        <v>56</v>
      </c>
      <c r="B18" s="30">
        <v>0.75741999999999998</v>
      </c>
      <c r="C18" s="30">
        <v>0.32103999999999999</v>
      </c>
      <c r="D18" s="30">
        <v>2.87181</v>
      </c>
      <c r="E18" s="30">
        <v>3.6339999999999999</v>
      </c>
      <c r="F18" s="30">
        <v>0.40576000000000001</v>
      </c>
      <c r="G18" s="30">
        <v>1.53</v>
      </c>
      <c r="H18" s="30">
        <v>3.16</v>
      </c>
      <c r="I18" s="30">
        <v>5.604239999999999</v>
      </c>
      <c r="J18" s="30">
        <v>3.5</v>
      </c>
      <c r="K18" s="30">
        <v>4.43</v>
      </c>
      <c r="L18" s="30">
        <f>10.59-J18-K18</f>
        <v>2.66</v>
      </c>
      <c r="M18" s="30">
        <v>5.04</v>
      </c>
      <c r="N18" s="30">
        <v>1.92</v>
      </c>
      <c r="O18" s="30">
        <v>2.02</v>
      </c>
      <c r="P18" s="30">
        <v>2.2400000000000002</v>
      </c>
      <c r="Q18" s="30">
        <v>2.19</v>
      </c>
      <c r="R18" s="30">
        <v>1.73</v>
      </c>
      <c r="S18" s="30">
        <v>1.1200000000000001</v>
      </c>
      <c r="T18" s="30">
        <v>1</v>
      </c>
      <c r="U18" s="30">
        <f>1.04-1.11-0.12+1.48</f>
        <v>1.29</v>
      </c>
      <c r="V18" s="30">
        <v>1.0900000000000001</v>
      </c>
      <c r="W18" s="30">
        <v>3.84</v>
      </c>
      <c r="X18" s="30">
        <v>5</v>
      </c>
      <c r="Y18" s="30">
        <v>5.8</v>
      </c>
      <c r="Z18" s="30">
        <v>3.5</v>
      </c>
      <c r="AA18" s="30">
        <v>2.57</v>
      </c>
      <c r="AB18" s="30">
        <v>3.31</v>
      </c>
      <c r="AC18" s="29">
        <v>1.64</v>
      </c>
      <c r="AD18" s="44">
        <f t="shared" si="0"/>
        <v>-0.50453172205438068</v>
      </c>
      <c r="AE18" s="44">
        <f t="shared" si="1"/>
        <v>-0.71724137931034482</v>
      </c>
    </row>
    <row r="19" spans="1:31" s="4" customFormat="1" ht="15.6" x14ac:dyDescent="0.3">
      <c r="A19" s="28" t="s">
        <v>57</v>
      </c>
      <c r="B19" s="28">
        <v>-0.75627</v>
      </c>
      <c r="C19" s="28">
        <v>-0.32101000000000002</v>
      </c>
      <c r="D19" s="28">
        <v>-2.87181</v>
      </c>
      <c r="E19" s="28">
        <v>-1.915</v>
      </c>
      <c r="F19" s="28">
        <v>-0.40576000000000001</v>
      </c>
      <c r="G19" s="28">
        <v>-1.51</v>
      </c>
      <c r="H19" s="28">
        <v>-2.73</v>
      </c>
      <c r="I19" s="28">
        <v>-3.8542399999999994</v>
      </c>
      <c r="J19" s="28">
        <v>-2.08</v>
      </c>
      <c r="K19" s="28">
        <v>-2.2000000000000002</v>
      </c>
      <c r="L19" s="28">
        <f>-5.37-K19-J19</f>
        <v>-1.0899999999999999</v>
      </c>
      <c r="M19" s="28">
        <v>-3.51</v>
      </c>
      <c r="N19" s="28">
        <v>-0.02</v>
      </c>
      <c r="O19" s="28">
        <v>-1.92</v>
      </c>
      <c r="P19" s="28">
        <v>-2.1</v>
      </c>
      <c r="Q19" s="28">
        <v>-2.2000000000000002</v>
      </c>
      <c r="R19" s="28">
        <v>-1.73</v>
      </c>
      <c r="S19" s="61">
        <v>-1.06</v>
      </c>
      <c r="T19" s="61">
        <v>-1.18</v>
      </c>
      <c r="U19" s="61">
        <f>-0.92+1.11+0.13-1.48</f>
        <v>-1.1599999999999999</v>
      </c>
      <c r="V19" s="61">
        <v>-1.08</v>
      </c>
      <c r="W19" s="61">
        <v>-3.83</v>
      </c>
      <c r="X19" s="61">
        <v>-5.12</v>
      </c>
      <c r="Y19" s="61">
        <v>-6.08</v>
      </c>
      <c r="Z19" s="61">
        <v>-3.16</v>
      </c>
      <c r="AA19" s="61">
        <v>-3.3</v>
      </c>
      <c r="AB19" s="61">
        <v>-3.26</v>
      </c>
      <c r="AC19" s="59">
        <v>-1.18</v>
      </c>
      <c r="AD19" s="41">
        <f t="shared" si="0"/>
        <v>-0.6380368098159509</v>
      </c>
      <c r="AE19" s="41">
        <f t="shared" si="1"/>
        <v>-0.80592105263157898</v>
      </c>
    </row>
    <row r="20" spans="1:31" s="10" customFormat="1" ht="15.6" x14ac:dyDescent="0.3">
      <c r="A20" s="10" t="s">
        <v>58</v>
      </c>
      <c r="AD20" s="11"/>
      <c r="AE20" s="11"/>
    </row>
    <row r="21" spans="1:31" x14ac:dyDescent="0.25">
      <c r="A21" s="30" t="s">
        <v>54</v>
      </c>
      <c r="B21" s="30">
        <v>0.77386999999999995</v>
      </c>
      <c r="C21" s="30">
        <v>1.6880299999999999</v>
      </c>
      <c r="D21" s="30">
        <v>7.9430000000000001E-2</v>
      </c>
      <c r="E21" s="30">
        <v>0.316</v>
      </c>
      <c r="F21" s="30">
        <v>0.38113999999999998</v>
      </c>
      <c r="G21" s="30">
        <v>1.76</v>
      </c>
      <c r="H21" s="30">
        <v>4.93</v>
      </c>
      <c r="I21" s="30">
        <v>-1.1711399999999994</v>
      </c>
      <c r="J21" s="30">
        <v>2.96</v>
      </c>
      <c r="K21" s="30">
        <v>4.93</v>
      </c>
      <c r="L21" s="30">
        <f>12.11-K21-J21</f>
        <v>4.22</v>
      </c>
      <c r="M21" s="30">
        <v>0.28000000000000003</v>
      </c>
      <c r="N21" s="30">
        <v>7.29</v>
      </c>
      <c r="O21" s="30">
        <v>8.76</v>
      </c>
      <c r="P21" s="30">
        <v>4.05</v>
      </c>
      <c r="Q21" s="30">
        <v>8.9600000000000009</v>
      </c>
      <c r="R21" s="30">
        <v>7.23</v>
      </c>
      <c r="S21" s="30">
        <v>8.2199999999999989</v>
      </c>
      <c r="T21" s="30">
        <v>16.850000000000001</v>
      </c>
      <c r="U21" s="30">
        <f>0.33-15.32</f>
        <v>-14.99</v>
      </c>
      <c r="V21" s="30">
        <v>8.36</v>
      </c>
      <c r="W21" s="30">
        <v>3.35</v>
      </c>
      <c r="X21" s="30">
        <v>4.8099999999999996</v>
      </c>
      <c r="Y21" s="30">
        <v>14.53</v>
      </c>
      <c r="Z21" s="30">
        <v>6.42</v>
      </c>
      <c r="AA21" s="30">
        <v>5.43</v>
      </c>
      <c r="AB21" s="30">
        <v>13.86</v>
      </c>
      <c r="AC21" s="29">
        <v>3.09</v>
      </c>
      <c r="AD21" s="44">
        <f t="shared" si="0"/>
        <v>-0.777056277056277</v>
      </c>
      <c r="AE21" s="44">
        <f t="shared" si="1"/>
        <v>-0.78733654507914663</v>
      </c>
    </row>
    <row r="22" spans="1:31" x14ac:dyDescent="0.25">
      <c r="A22" s="30" t="s">
        <v>55</v>
      </c>
      <c r="B22" s="30">
        <v>1.2719499999999999</v>
      </c>
      <c r="C22" s="30">
        <v>1.9796499999999999</v>
      </c>
      <c r="D22" s="30">
        <v>-4.8059999999999999E-2</v>
      </c>
      <c r="E22" s="30">
        <v>0</v>
      </c>
      <c r="F22" s="30">
        <v>3.7493599999999998</v>
      </c>
      <c r="G22" s="30">
        <v>1.48</v>
      </c>
      <c r="H22" s="30">
        <v>-1.01</v>
      </c>
      <c r="I22" s="30">
        <v>1.0640000000000649E-2</v>
      </c>
      <c r="J22" s="30">
        <v>1.83</v>
      </c>
      <c r="K22" s="30">
        <v>3.2699999999999996</v>
      </c>
      <c r="L22" s="30">
        <f>9.4-K22-J22</f>
        <v>4.3000000000000007</v>
      </c>
      <c r="M22" s="30">
        <v>2.2200000000000002</v>
      </c>
      <c r="N22" s="30">
        <v>6.48</v>
      </c>
      <c r="O22" s="30">
        <v>1.18</v>
      </c>
      <c r="P22" s="30">
        <v>2.77</v>
      </c>
      <c r="Q22" s="30">
        <v>11.57</v>
      </c>
      <c r="R22" s="30">
        <v>5.14</v>
      </c>
      <c r="S22" s="30">
        <v>11.46</v>
      </c>
      <c r="T22" s="30">
        <v>12.5</v>
      </c>
      <c r="U22" s="30">
        <f>3.18-13.6+0.05</f>
        <v>-10.37</v>
      </c>
      <c r="V22" s="30">
        <v>2.78</v>
      </c>
      <c r="W22" s="30">
        <v>2.58</v>
      </c>
      <c r="X22" s="30">
        <v>1.83</v>
      </c>
      <c r="Y22" s="30">
        <v>9.6199999999999992</v>
      </c>
      <c r="Z22" s="30">
        <v>2.41</v>
      </c>
      <c r="AA22" s="30">
        <v>4.99</v>
      </c>
      <c r="AB22" s="30">
        <v>13.71</v>
      </c>
      <c r="AC22" s="29">
        <v>16.059999999999999</v>
      </c>
      <c r="AD22" s="44">
        <f t="shared" si="0"/>
        <v>0.17140773158278622</v>
      </c>
      <c r="AE22" s="44">
        <f t="shared" si="1"/>
        <v>0.66943866943866936</v>
      </c>
    </row>
    <row r="23" spans="1:31" s="4" customFormat="1" ht="15.6" x14ac:dyDescent="0.3">
      <c r="A23" s="28" t="s">
        <v>59</v>
      </c>
      <c r="B23" s="28">
        <v>-0.49808000000000002</v>
      </c>
      <c r="C23" s="28">
        <v>-0.29161999999999999</v>
      </c>
      <c r="D23" s="28">
        <v>0.12748999999999999</v>
      </c>
      <c r="E23" s="28">
        <v>0.316</v>
      </c>
      <c r="F23" s="28">
        <v>-3.36822</v>
      </c>
      <c r="G23" s="28">
        <v>0.26</v>
      </c>
      <c r="H23" s="28">
        <v>3.92</v>
      </c>
      <c r="I23" s="28">
        <v>0.8582200000000002</v>
      </c>
      <c r="J23" s="28">
        <v>1.1299999999999999</v>
      </c>
      <c r="K23" s="28">
        <v>1.6600000000000001</v>
      </c>
      <c r="L23" s="28">
        <f>2.71-K23-J23</f>
        <v>-8.0000000000000071E-2</v>
      </c>
      <c r="M23" s="28">
        <v>-1.94</v>
      </c>
      <c r="N23" s="28">
        <f>N21-N22</f>
        <v>0.80999999999999961</v>
      </c>
      <c r="O23" s="28">
        <v>7.59</v>
      </c>
      <c r="P23" s="28">
        <v>1.27</v>
      </c>
      <c r="Q23" s="28">
        <v>-2.62</v>
      </c>
      <c r="R23" s="28">
        <v>2.09</v>
      </c>
      <c r="S23" s="61">
        <v>-3.240000000000002</v>
      </c>
      <c r="T23" s="61">
        <v>4.3499999999999996</v>
      </c>
      <c r="U23" s="61">
        <f>-2.85-1.72-0.05</f>
        <v>-4.62</v>
      </c>
      <c r="V23" s="61">
        <v>5.58</v>
      </c>
      <c r="W23" s="61">
        <v>0.77</v>
      </c>
      <c r="X23" s="61">
        <v>2.98</v>
      </c>
      <c r="Y23" s="61">
        <f>6.53-1.62</f>
        <v>4.91</v>
      </c>
      <c r="Z23" s="61">
        <v>4.01</v>
      </c>
      <c r="AA23" s="61">
        <v>0.44</v>
      </c>
      <c r="AB23" s="61">
        <v>0.15</v>
      </c>
      <c r="AC23" s="59">
        <v>-12.97</v>
      </c>
      <c r="AD23" s="41">
        <f t="shared" si="0"/>
        <v>-87.466666666666669</v>
      </c>
      <c r="AE23" s="41">
        <f t="shared" si="1"/>
        <v>-3.6415478615071284</v>
      </c>
    </row>
    <row r="24" spans="1:31" s="10" customFormat="1" ht="15.6" x14ac:dyDescent="0.3">
      <c r="A24" s="10" t="s">
        <v>107</v>
      </c>
      <c r="AD24" s="11"/>
      <c r="AE24" s="11"/>
    </row>
    <row r="25" spans="1:31" x14ac:dyDescent="0.25">
      <c r="A25" s="30" t="s">
        <v>60</v>
      </c>
      <c r="B25" s="30">
        <v>0.33717999999999998</v>
      </c>
      <c r="C25" s="30">
        <v>6.0659999999999999E-2</v>
      </c>
      <c r="D25" s="30">
        <v>-0.47071000000000002</v>
      </c>
      <c r="E25" s="30">
        <v>0.311</v>
      </c>
      <c r="F25" s="30">
        <v>-8.7870000000000004E-2</v>
      </c>
      <c r="G25" s="30">
        <v>1.48</v>
      </c>
      <c r="H25" s="30">
        <v>0.83</v>
      </c>
      <c r="I25" s="30">
        <v>-0.58213000000000015</v>
      </c>
      <c r="J25" s="30">
        <v>-1.1399999999999999</v>
      </c>
      <c r="K25" s="30">
        <v>-0.78</v>
      </c>
      <c r="L25" s="30">
        <f>-1.16-K25-J25</f>
        <v>0.76</v>
      </c>
      <c r="M25" s="30">
        <v>3.79</v>
      </c>
      <c r="N25" s="30">
        <v>1.83</v>
      </c>
      <c r="O25" s="30">
        <v>-3.88</v>
      </c>
      <c r="P25" s="30">
        <v>0.1</v>
      </c>
      <c r="Q25" s="30">
        <v>0.43</v>
      </c>
      <c r="R25" s="30">
        <v>1.1100000000000001</v>
      </c>
      <c r="S25" s="30">
        <v>-1.1599999999999999</v>
      </c>
      <c r="T25" s="30">
        <f>T13+T19+T23</f>
        <v>0.1899999999999995</v>
      </c>
      <c r="U25" s="30">
        <v>2.1300000000000008</v>
      </c>
      <c r="V25" s="30">
        <v>-1.98</v>
      </c>
      <c r="W25" s="30">
        <v>-1.32</v>
      </c>
      <c r="X25" s="30">
        <v>0.28000000000000003</v>
      </c>
      <c r="Y25" s="30">
        <v>5.12</v>
      </c>
      <c r="Z25" s="30">
        <v>-4.18</v>
      </c>
      <c r="AA25" s="30">
        <v>0.33</v>
      </c>
      <c r="AB25" s="30">
        <f>AB13+AB19+AB23</f>
        <v>2.85</v>
      </c>
      <c r="AC25" s="29">
        <v>-0.35</v>
      </c>
      <c r="AD25" s="44">
        <f t="shared" si="0"/>
        <v>-1.1228070175438596</v>
      </c>
      <c r="AE25" s="44">
        <f t="shared" si="1"/>
        <v>-1.068359375</v>
      </c>
    </row>
    <row r="26" spans="1:31" x14ac:dyDescent="0.25">
      <c r="A26" s="30" t="s">
        <v>61</v>
      </c>
      <c r="B26" s="30">
        <v>0.86524000000000001</v>
      </c>
      <c r="C26" s="30">
        <v>1.20218</v>
      </c>
      <c r="D26" s="30">
        <v>2.4000000000000001E-4</v>
      </c>
      <c r="E26" s="30">
        <v>0.79200000000000004</v>
      </c>
      <c r="F26" s="30">
        <v>0.98677000000000004</v>
      </c>
      <c r="G26" s="30">
        <v>0.9</v>
      </c>
      <c r="H26" s="30">
        <v>2.38</v>
      </c>
      <c r="I26" s="30">
        <v>3.214</v>
      </c>
      <c r="J26" s="30">
        <v>2.62</v>
      </c>
      <c r="K26" s="30">
        <v>1.48</v>
      </c>
      <c r="L26" s="30">
        <v>0.7</v>
      </c>
      <c r="M26" s="30">
        <v>1.46</v>
      </c>
      <c r="N26" s="30">
        <v>5.26</v>
      </c>
      <c r="O26" s="30">
        <v>7.09</v>
      </c>
      <c r="P26" s="30">
        <v>3.21</v>
      </c>
      <c r="Q26" s="30">
        <v>3.31</v>
      </c>
      <c r="R26" s="30">
        <v>3.74</v>
      </c>
      <c r="S26" s="30">
        <v>4.8499999999999996</v>
      </c>
      <c r="T26" s="30">
        <v>3.69</v>
      </c>
      <c r="U26" s="30">
        <v>3.88</v>
      </c>
      <c r="V26" s="30">
        <v>6.22</v>
      </c>
      <c r="W26" s="30">
        <v>4.24</v>
      </c>
      <c r="X26" s="30">
        <v>2.71</v>
      </c>
      <c r="Y26" s="30">
        <v>2.99</v>
      </c>
      <c r="Z26" s="30">
        <v>8.11</v>
      </c>
      <c r="AA26" s="30">
        <v>3.93</v>
      </c>
      <c r="AB26" s="30">
        <v>4.26</v>
      </c>
      <c r="AC26" s="29">
        <v>7.11</v>
      </c>
      <c r="AD26" s="44">
        <f t="shared" si="0"/>
        <v>0.66901408450704247</v>
      </c>
      <c r="AE26" s="44">
        <f t="shared" si="1"/>
        <v>1.3779264214046822</v>
      </c>
    </row>
    <row r="27" spans="1:31" x14ac:dyDescent="0.25">
      <c r="A27" s="30" t="s">
        <v>62</v>
      </c>
      <c r="B27" s="30">
        <v>1.20242</v>
      </c>
      <c r="C27" s="30">
        <v>1.26284</v>
      </c>
      <c r="D27" s="30">
        <v>-0.47047</v>
      </c>
      <c r="E27" s="30">
        <v>0.98699999999999999</v>
      </c>
      <c r="F27" s="30">
        <v>0.89890000000000003</v>
      </c>
      <c r="G27" s="30">
        <v>2.38</v>
      </c>
      <c r="H27" s="30">
        <v>3.21</v>
      </c>
      <c r="I27" s="30">
        <v>2.62</v>
      </c>
      <c r="J27" s="30">
        <v>1.48</v>
      </c>
      <c r="K27" s="30">
        <v>0.7</v>
      </c>
      <c r="L27" s="30">
        <v>1.46</v>
      </c>
      <c r="M27" s="30">
        <v>5.25</v>
      </c>
      <c r="N27" s="30">
        <v>7.0860000000000003</v>
      </c>
      <c r="O27" s="30">
        <v>3.21</v>
      </c>
      <c r="P27" s="30">
        <v>3.31</v>
      </c>
      <c r="Q27" s="30">
        <v>3.74</v>
      </c>
      <c r="R27" s="30">
        <v>4.8499999999999996</v>
      </c>
      <c r="S27" s="30">
        <v>3.69</v>
      </c>
      <c r="T27" s="30">
        <v>3.88</v>
      </c>
      <c r="U27" s="30">
        <v>6.01</v>
      </c>
      <c r="V27" s="30">
        <v>4.24</v>
      </c>
      <c r="W27" s="30">
        <v>2.71</v>
      </c>
      <c r="X27" s="30">
        <v>2.99</v>
      </c>
      <c r="Y27" s="30">
        <v>8.11</v>
      </c>
      <c r="Z27" s="30">
        <v>3.93</v>
      </c>
      <c r="AA27" s="30">
        <v>4.26</v>
      </c>
      <c r="AB27" s="30">
        <v>7.11</v>
      </c>
      <c r="AC27" s="29">
        <v>6.76</v>
      </c>
      <c r="AD27" s="44">
        <f t="shared" si="0"/>
        <v>-4.9226441631505025E-2</v>
      </c>
      <c r="AE27" s="44">
        <f t="shared" si="1"/>
        <v>-0.16646115906288528</v>
      </c>
    </row>
    <row r="28" spans="1:31" x14ac:dyDescent="0.25">
      <c r="AD28" s="1"/>
      <c r="AE28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1"/>
  <sheetViews>
    <sheetView zoomScale="70" zoomScaleNormal="7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H32" sqref="H32"/>
    </sheetView>
  </sheetViews>
  <sheetFormatPr defaultColWidth="10.54296875" defaultRowHeight="15" x14ac:dyDescent="0.25"/>
  <cols>
    <col min="1" max="1" width="37.36328125" style="1" customWidth="1"/>
    <col min="2" max="7" width="10.54296875" style="1" customWidth="1"/>
    <col min="8" max="9" width="10.54296875" style="1"/>
    <col min="10" max="10" width="11.81640625" style="29" customWidth="1"/>
    <col min="11" max="11" width="10.54296875" style="3"/>
    <col min="12" max="16384" width="10.54296875" style="1"/>
  </cols>
  <sheetData>
    <row r="1" spans="1:11" s="4" customFormat="1" ht="15.6" x14ac:dyDescent="0.3">
      <c r="A1" s="6" t="s">
        <v>106</v>
      </c>
      <c r="B1" s="27">
        <v>2014</v>
      </c>
      <c r="C1" s="27">
        <v>2015</v>
      </c>
      <c r="D1" s="27">
        <v>2016</v>
      </c>
      <c r="E1" s="27">
        <v>2017</v>
      </c>
      <c r="F1" s="27">
        <v>2018</v>
      </c>
      <c r="G1" s="27">
        <v>2019</v>
      </c>
      <c r="H1" s="27">
        <v>2020</v>
      </c>
      <c r="I1" s="27">
        <v>2021</v>
      </c>
      <c r="J1" s="27" t="s">
        <v>200</v>
      </c>
      <c r="K1" s="27" t="s">
        <v>69</v>
      </c>
    </row>
    <row r="2" spans="1:11" s="10" customFormat="1" ht="15.6" x14ac:dyDescent="0.3">
      <c r="A2" s="10" t="s">
        <v>42</v>
      </c>
      <c r="J2" s="34"/>
      <c r="K2" s="11"/>
    </row>
    <row r="3" spans="1:11" x14ac:dyDescent="0.25">
      <c r="A3" s="1" t="s">
        <v>170</v>
      </c>
      <c r="B3" s="1">
        <v>3.282</v>
      </c>
      <c r="C3" s="1">
        <v>4.1429999999999998</v>
      </c>
      <c r="D3" s="1">
        <v>3.9609999999999999</v>
      </c>
      <c r="E3" s="1">
        <v>8.67</v>
      </c>
      <c r="F3" s="1">
        <v>5.04</v>
      </c>
      <c r="G3" s="1">
        <v>-4.9400000000000004</v>
      </c>
      <c r="H3" s="1">
        <v>8.64</v>
      </c>
      <c r="I3" s="1">
        <v>1.5</v>
      </c>
      <c r="J3" s="29">
        <v>3.14</v>
      </c>
      <c r="K3" s="81">
        <f>J3/I3-1</f>
        <v>1.0933333333333333</v>
      </c>
    </row>
    <row r="4" spans="1:11" x14ac:dyDescent="0.25">
      <c r="A4" s="1" t="s">
        <v>43</v>
      </c>
      <c r="B4" s="1">
        <v>-1.194</v>
      </c>
      <c r="C4" s="1">
        <v>1.2170000000000001</v>
      </c>
      <c r="D4" s="1">
        <v>2.371</v>
      </c>
      <c r="E4" s="1">
        <v>-0.2</v>
      </c>
      <c r="F4" s="1">
        <v>5.7</v>
      </c>
      <c r="G4" s="1">
        <v>2.6</v>
      </c>
      <c r="H4" s="1">
        <v>0.18</v>
      </c>
      <c r="I4" s="1">
        <v>3.8</v>
      </c>
      <c r="J4" s="29">
        <v>14.78</v>
      </c>
      <c r="K4" s="81">
        <f t="shared" ref="K4:K31" si="0">J4/I4-1</f>
        <v>2.8894736842105262</v>
      </c>
    </row>
    <row r="5" spans="1:11" x14ac:dyDescent="0.25">
      <c r="A5" s="1" t="s">
        <v>44</v>
      </c>
      <c r="B5" s="1">
        <v>3.3780000000000001</v>
      </c>
      <c r="C5" s="1">
        <v>3.6070000000000002</v>
      </c>
      <c r="D5" s="1">
        <v>4.4530000000000003</v>
      </c>
      <c r="E5" s="1">
        <v>5.03</v>
      </c>
      <c r="F5" s="1">
        <v>6.84</v>
      </c>
      <c r="G5" s="1">
        <v>8.2899999999999991</v>
      </c>
      <c r="H5" s="1">
        <v>9.74</v>
      </c>
      <c r="I5" s="1">
        <v>10.25</v>
      </c>
      <c r="J5" s="29">
        <v>11.13</v>
      </c>
      <c r="K5" s="81">
        <f t="shared" si="0"/>
        <v>8.5853658536585442E-2</v>
      </c>
    </row>
    <row r="6" spans="1:11" x14ac:dyDescent="0.25">
      <c r="A6" s="1" t="s">
        <v>45</v>
      </c>
      <c r="B6" s="1">
        <v>-4.3999999999999997E-2</v>
      </c>
      <c r="C6" s="1">
        <v>8.9999999999999993E-3</v>
      </c>
      <c r="D6" s="1">
        <v>1.202</v>
      </c>
      <c r="E6" s="1">
        <v>-1.32</v>
      </c>
      <c r="F6" s="1">
        <v>-0.02</v>
      </c>
      <c r="G6" s="1">
        <v>-2.89</v>
      </c>
      <c r="H6" s="1">
        <v>-0.42</v>
      </c>
      <c r="I6" s="1">
        <v>2.3199999999999998</v>
      </c>
      <c r="J6" s="29">
        <v>-0.87</v>
      </c>
      <c r="K6" s="81">
        <f t="shared" si="0"/>
        <v>-1.375</v>
      </c>
    </row>
    <row r="7" spans="1:11" x14ac:dyDescent="0.25">
      <c r="A7" s="1" t="s">
        <v>46</v>
      </c>
      <c r="B7" s="1">
        <v>0.66500000000000004</v>
      </c>
      <c r="C7" s="1">
        <v>0.61</v>
      </c>
      <c r="D7" s="1">
        <v>0.61899999999999999</v>
      </c>
      <c r="E7" s="1">
        <v>0.73</v>
      </c>
      <c r="F7" s="1">
        <v>1.1499999999999999</v>
      </c>
      <c r="G7" s="1">
        <v>1.66</v>
      </c>
      <c r="H7" s="1">
        <v>1.1599999999999999</v>
      </c>
      <c r="I7" s="1">
        <v>1.57</v>
      </c>
      <c r="J7" s="29">
        <v>4.71</v>
      </c>
      <c r="K7" s="81">
        <f t="shared" si="0"/>
        <v>2</v>
      </c>
    </row>
    <row r="8" spans="1:11" x14ac:dyDescent="0.25">
      <c r="A8" s="1" t="s">
        <v>98</v>
      </c>
      <c r="B8" s="1">
        <v>0.10100000000000001</v>
      </c>
      <c r="C8" s="1">
        <v>-0.111</v>
      </c>
      <c r="D8" s="1">
        <v>-4.5999999999999999E-2</v>
      </c>
      <c r="E8" s="1">
        <v>-0.04</v>
      </c>
      <c r="F8" s="1">
        <v>-0.2</v>
      </c>
      <c r="G8" s="1">
        <v>-0.25</v>
      </c>
      <c r="H8" s="1">
        <v>-0.69</v>
      </c>
      <c r="I8" s="1">
        <v>-0.41</v>
      </c>
      <c r="J8" s="29">
        <v>-0.17</v>
      </c>
      <c r="K8" s="81">
        <f t="shared" si="0"/>
        <v>-0.58536585365853655</v>
      </c>
    </row>
    <row r="9" spans="1:11" x14ac:dyDescent="0.25">
      <c r="A9" s="1" t="s">
        <v>47</v>
      </c>
      <c r="B9" s="1">
        <v>-0.71599999999999997</v>
      </c>
      <c r="C9" s="1">
        <v>-0.26200000000000001</v>
      </c>
      <c r="D9" s="1">
        <v>0.36799999999999999</v>
      </c>
      <c r="E9" s="1">
        <v>3.36</v>
      </c>
      <c r="F9" s="1">
        <v>0.35</v>
      </c>
      <c r="G9" s="1">
        <v>-0.44</v>
      </c>
      <c r="H9" s="1">
        <v>1.29</v>
      </c>
      <c r="I9" s="1">
        <v>5.45</v>
      </c>
      <c r="J9" s="29">
        <v>-1</v>
      </c>
      <c r="K9" s="81">
        <f t="shared" si="0"/>
        <v>-1.1834862385321101</v>
      </c>
    </row>
    <row r="10" spans="1:11" x14ac:dyDescent="0.25">
      <c r="A10" s="1" t="s">
        <v>48</v>
      </c>
      <c r="B10" s="1">
        <v>-1.0269999999999999</v>
      </c>
      <c r="C10" s="1">
        <v>3.8330000000000002</v>
      </c>
      <c r="D10" s="1">
        <v>-5.3</v>
      </c>
      <c r="E10" s="1">
        <v>-2.76</v>
      </c>
      <c r="F10" s="1">
        <v>-3.54</v>
      </c>
      <c r="G10" s="1">
        <v>-6.03</v>
      </c>
      <c r="H10" s="1">
        <v>-3.71</v>
      </c>
      <c r="I10" s="1">
        <v>-23.76</v>
      </c>
      <c r="J10" s="29">
        <v>2.1800000000000002</v>
      </c>
      <c r="K10" s="81">
        <f t="shared" si="0"/>
        <v>-1.0917508417508417</v>
      </c>
    </row>
    <row r="11" spans="1:11" x14ac:dyDescent="0.25">
      <c r="A11" s="1" t="s">
        <v>49</v>
      </c>
      <c r="B11" s="1">
        <v>-2.661</v>
      </c>
      <c r="C11" s="1">
        <v>-1.4490000000000001</v>
      </c>
      <c r="D11" s="1">
        <v>-2.0350000000000001</v>
      </c>
      <c r="E11" s="1">
        <v>-4.2699999999999996</v>
      </c>
      <c r="F11" s="1">
        <v>-6.95</v>
      </c>
      <c r="G11" s="1">
        <v>3.95</v>
      </c>
      <c r="H11" s="1">
        <v>-2.59</v>
      </c>
      <c r="I11" s="1">
        <v>-12.77</v>
      </c>
      <c r="J11" s="29">
        <v>-0.98</v>
      </c>
      <c r="K11" s="81">
        <f t="shared" si="0"/>
        <v>-0.92325763508222392</v>
      </c>
    </row>
    <row r="12" spans="1:11" x14ac:dyDescent="0.25">
      <c r="A12" s="1" t="s">
        <v>50</v>
      </c>
      <c r="B12" s="1">
        <v>-0.78900000000000003</v>
      </c>
      <c r="C12" s="1">
        <v>-3.234</v>
      </c>
      <c r="D12" s="1">
        <v>4.734</v>
      </c>
      <c r="E12" s="1">
        <v>1.5</v>
      </c>
      <c r="F12" s="1">
        <v>10</v>
      </c>
      <c r="G12" s="1">
        <v>-0.62</v>
      </c>
      <c r="H12" s="1">
        <v>-2.02</v>
      </c>
      <c r="I12" s="1">
        <v>21.1</v>
      </c>
      <c r="J12" s="29">
        <v>-1.84</v>
      </c>
      <c r="K12" s="81">
        <f t="shared" si="0"/>
        <v>-1.0872037914691943</v>
      </c>
    </row>
    <row r="13" spans="1:11" x14ac:dyDescent="0.25">
      <c r="A13" s="1" t="s">
        <v>51</v>
      </c>
      <c r="B13" s="1">
        <v>0</v>
      </c>
      <c r="C13" s="1">
        <v>-1.724</v>
      </c>
      <c r="D13" s="1">
        <v>-1.554</v>
      </c>
      <c r="E13" s="1">
        <v>-2.35</v>
      </c>
      <c r="F13" s="1">
        <v>-1.55</v>
      </c>
      <c r="G13" s="1">
        <v>-1.19</v>
      </c>
      <c r="H13" s="1">
        <v>-1.8</v>
      </c>
      <c r="I13" s="1">
        <v>0.39</v>
      </c>
      <c r="J13" s="29">
        <v>1.85</v>
      </c>
      <c r="K13" s="81">
        <f t="shared" si="0"/>
        <v>3.7435897435897436</v>
      </c>
    </row>
    <row r="14" spans="1:11" s="4" customFormat="1" ht="15.6" x14ac:dyDescent="0.3">
      <c r="A14" s="4" t="s">
        <v>52</v>
      </c>
      <c r="B14" s="4">
        <v>2.0880000000000001</v>
      </c>
      <c r="C14" s="4">
        <v>5.36</v>
      </c>
      <c r="D14" s="4">
        <v>6.3310000000000004</v>
      </c>
      <c r="E14" s="4">
        <v>8.4700000000000006</v>
      </c>
      <c r="F14" s="4">
        <v>10.74</v>
      </c>
      <c r="G14" s="4">
        <v>-2.34</v>
      </c>
      <c r="H14" s="4">
        <v>8.82</v>
      </c>
      <c r="I14" s="4">
        <v>5.3</v>
      </c>
      <c r="J14" s="35">
        <v>17.920000000000002</v>
      </c>
      <c r="K14" s="82">
        <f t="shared" si="0"/>
        <v>2.3811320754716987</v>
      </c>
    </row>
    <row r="15" spans="1:11" s="10" customFormat="1" ht="15.6" x14ac:dyDescent="0.3">
      <c r="A15" s="10" t="s">
        <v>53</v>
      </c>
      <c r="J15" s="34"/>
      <c r="K15" s="83"/>
    </row>
    <row r="16" spans="1:11" x14ac:dyDescent="0.25">
      <c r="A16" s="1" t="s">
        <v>54</v>
      </c>
      <c r="B16" s="1">
        <v>1.056</v>
      </c>
      <c r="C16" s="1">
        <v>9.8000000000000004E-2</v>
      </c>
      <c r="D16" s="1">
        <v>1.7210000000000001</v>
      </c>
      <c r="E16" s="1">
        <v>2.2000000000000002</v>
      </c>
      <c r="F16" s="1">
        <v>6.83</v>
      </c>
      <c r="G16" s="1">
        <v>2.13</v>
      </c>
      <c r="H16" s="1">
        <v>0.73</v>
      </c>
      <c r="I16" s="1">
        <v>0.17</v>
      </c>
      <c r="J16" s="29">
        <v>0.66</v>
      </c>
      <c r="K16" s="81">
        <f t="shared" si="0"/>
        <v>2.8823529411764706</v>
      </c>
    </row>
    <row r="17" spans="1:11" ht="30" x14ac:dyDescent="0.25">
      <c r="A17" s="55" t="s">
        <v>63</v>
      </c>
      <c r="B17" s="1">
        <v>1.0529999999999999</v>
      </c>
      <c r="C17" s="1">
        <v>9.8000000000000004E-2</v>
      </c>
      <c r="D17" s="1">
        <v>1.7210000000000001</v>
      </c>
      <c r="E17" s="1">
        <v>1.33</v>
      </c>
      <c r="F17" s="1">
        <v>6.21</v>
      </c>
      <c r="G17" s="1">
        <v>2.13</v>
      </c>
      <c r="H17" s="1">
        <v>0.73</v>
      </c>
      <c r="I17" s="1">
        <v>0.15</v>
      </c>
      <c r="J17" s="29">
        <v>0.52</v>
      </c>
      <c r="K17" s="81">
        <f t="shared" si="0"/>
        <v>2.4666666666666668</v>
      </c>
    </row>
    <row r="18" spans="1:11" x14ac:dyDescent="0.25">
      <c r="A18" s="55" t="s">
        <v>55</v>
      </c>
      <c r="B18" s="1">
        <v>3.0760000000000001</v>
      </c>
      <c r="C18" s="1">
        <v>10.537000000000001</v>
      </c>
      <c r="D18" s="1">
        <v>7.585</v>
      </c>
      <c r="E18" s="1">
        <v>10.7</v>
      </c>
      <c r="F18" s="1">
        <v>15.71</v>
      </c>
      <c r="G18" s="1">
        <v>8.8699999999999992</v>
      </c>
      <c r="H18" s="1">
        <v>5.86</v>
      </c>
      <c r="I18" s="1">
        <v>17.61</v>
      </c>
      <c r="J18" s="29">
        <v>11.55</v>
      </c>
      <c r="K18" s="81">
        <f t="shared" si="0"/>
        <v>-0.34412265758091987</v>
      </c>
    </row>
    <row r="19" spans="1:11" ht="30" x14ac:dyDescent="0.25">
      <c r="A19" s="55" t="s">
        <v>56</v>
      </c>
      <c r="B19" s="1">
        <v>3.0760000000000001</v>
      </c>
      <c r="C19" s="1">
        <v>10.537000000000001</v>
      </c>
      <c r="D19" s="1">
        <v>7.585</v>
      </c>
      <c r="E19" s="1">
        <v>10.7</v>
      </c>
      <c r="F19" s="1">
        <v>15.71</v>
      </c>
      <c r="G19" s="1">
        <v>8.8699999999999992</v>
      </c>
      <c r="H19" s="1">
        <v>5.14</v>
      </c>
      <c r="I19" s="1">
        <v>17.23</v>
      </c>
      <c r="J19" s="29">
        <v>11.02</v>
      </c>
      <c r="K19" s="81">
        <f t="shared" si="0"/>
        <v>-0.36041787579802675</v>
      </c>
    </row>
    <row r="20" spans="1:11" s="4" customFormat="1" ht="15.6" x14ac:dyDescent="0.3">
      <c r="A20" s="4" t="s">
        <v>57</v>
      </c>
      <c r="B20" s="4">
        <v>-2.02</v>
      </c>
      <c r="C20" s="4">
        <v>-10.439</v>
      </c>
      <c r="D20" s="4">
        <v>-5.8639999999999999</v>
      </c>
      <c r="E20" s="4">
        <v>-8.5</v>
      </c>
      <c r="F20" s="4">
        <v>-8.8800000000000008</v>
      </c>
      <c r="G20" s="4">
        <v>-6.24</v>
      </c>
      <c r="H20" s="4">
        <v>-5.13</v>
      </c>
      <c r="I20" s="4">
        <v>-17.440000000000001</v>
      </c>
      <c r="J20" s="35">
        <v>-10.89</v>
      </c>
      <c r="K20" s="82">
        <f t="shared" si="0"/>
        <v>-0.37557339449541283</v>
      </c>
    </row>
    <row r="21" spans="1:11" s="10" customFormat="1" ht="15.6" x14ac:dyDescent="0.3">
      <c r="A21" s="10" t="s">
        <v>58</v>
      </c>
      <c r="J21" s="34"/>
      <c r="K21" s="83"/>
    </row>
    <row r="22" spans="1:11" x14ac:dyDescent="0.25">
      <c r="A22" s="1" t="s">
        <v>54</v>
      </c>
      <c r="B22" s="1">
        <v>1.472</v>
      </c>
      <c r="C22" s="1">
        <v>7.9329999999999998</v>
      </c>
      <c r="D22" s="1">
        <v>3.5779999999999998</v>
      </c>
      <c r="E22" s="1">
        <v>5.9</v>
      </c>
      <c r="F22" s="1">
        <v>12.389999999999999</v>
      </c>
      <c r="G22" s="1">
        <v>29.06</v>
      </c>
      <c r="H22" s="1">
        <v>17.309999999999999</v>
      </c>
      <c r="I22" s="1">
        <v>23.86</v>
      </c>
      <c r="J22" s="29">
        <v>14.45</v>
      </c>
      <c r="K22" s="81">
        <f t="shared" si="0"/>
        <v>-0.39438390611902763</v>
      </c>
    </row>
    <row r="23" spans="1:11" x14ac:dyDescent="0.25">
      <c r="A23" s="1" t="s">
        <v>55</v>
      </c>
      <c r="B23" s="1">
        <v>3.6419999999999999</v>
      </c>
      <c r="C23" s="1">
        <v>3.6709999999999998</v>
      </c>
      <c r="D23" s="1">
        <v>3.9239999999999999</v>
      </c>
      <c r="E23" s="1">
        <v>4.2300000000000004</v>
      </c>
      <c r="F23" s="1">
        <v>11.62</v>
      </c>
      <c r="G23" s="1">
        <v>22</v>
      </c>
      <c r="H23" s="1">
        <v>18.73</v>
      </c>
      <c r="I23" s="1">
        <v>9.6199999999999992</v>
      </c>
      <c r="J23" s="29">
        <v>22.82</v>
      </c>
      <c r="K23" s="81">
        <f t="shared" si="0"/>
        <v>1.3721413721413724</v>
      </c>
    </row>
    <row r="24" spans="1:11" x14ac:dyDescent="0.25">
      <c r="A24" s="1" t="s">
        <v>99</v>
      </c>
      <c r="B24" s="1">
        <v>2.2890000000000001</v>
      </c>
      <c r="C24" s="1">
        <v>1.669</v>
      </c>
      <c r="D24" s="1">
        <v>1.87</v>
      </c>
      <c r="E24" s="1">
        <v>0.32</v>
      </c>
      <c r="F24" s="1">
        <v>6.11</v>
      </c>
      <c r="G24" s="1">
        <v>14.68</v>
      </c>
      <c r="H24" s="1">
        <v>13.89</v>
      </c>
      <c r="I24" s="1">
        <v>3.28</v>
      </c>
      <c r="J24" s="29">
        <v>14.81</v>
      </c>
      <c r="K24" s="81">
        <f t="shared" si="0"/>
        <v>3.5152439024390247</v>
      </c>
    </row>
    <row r="25" spans="1:11" x14ac:dyDescent="0.25">
      <c r="A25" s="1" t="s">
        <v>100</v>
      </c>
      <c r="B25" s="1">
        <v>0.68</v>
      </c>
      <c r="C25" s="1">
        <v>1.37</v>
      </c>
      <c r="D25" s="1">
        <v>1.397</v>
      </c>
      <c r="E25" s="1">
        <v>2.17</v>
      </c>
      <c r="F25" s="1">
        <v>3.13</v>
      </c>
      <c r="G25" s="1">
        <v>4.62</v>
      </c>
      <c r="H25" s="1">
        <v>3.39</v>
      </c>
      <c r="I25" s="1">
        <v>4.92</v>
      </c>
      <c r="J25" s="29">
        <v>3.22</v>
      </c>
      <c r="K25" s="81">
        <f t="shared" si="0"/>
        <v>-0.34552845528455278</v>
      </c>
    </row>
    <row r="26" spans="1:11" x14ac:dyDescent="0.25">
      <c r="A26" s="1" t="s">
        <v>101</v>
      </c>
      <c r="B26" s="1">
        <v>0.67400000000000004</v>
      </c>
      <c r="C26" s="1">
        <v>0.63100000000000001</v>
      </c>
      <c r="D26" s="1">
        <v>0.65600000000000003</v>
      </c>
      <c r="E26" s="1">
        <v>0.73</v>
      </c>
      <c r="F26" s="1">
        <v>1.1599999999999999</v>
      </c>
      <c r="G26" s="1">
        <v>1.7</v>
      </c>
      <c r="H26" s="1">
        <v>1.45</v>
      </c>
      <c r="I26" s="1">
        <v>1.42</v>
      </c>
      <c r="J26" s="29">
        <v>4.79</v>
      </c>
      <c r="K26" s="81">
        <f t="shared" si="0"/>
        <v>2.3732394366197185</v>
      </c>
    </row>
    <row r="27" spans="1:11" s="4" customFormat="1" ht="15.6" x14ac:dyDescent="0.3">
      <c r="A27" s="4" t="s">
        <v>59</v>
      </c>
      <c r="B27" s="4">
        <v>-2.17</v>
      </c>
      <c r="C27" s="4">
        <v>4.2629999999999999</v>
      </c>
      <c r="D27" s="4">
        <v>-0.34599999999999997</v>
      </c>
      <c r="E27" s="4">
        <v>1.67</v>
      </c>
      <c r="F27" s="4">
        <v>0.77</v>
      </c>
      <c r="G27" s="4">
        <v>7.05</v>
      </c>
      <c r="H27" s="4">
        <v>-1.42</v>
      </c>
      <c r="I27" s="4">
        <v>14.24</v>
      </c>
      <c r="J27" s="35">
        <v>-8.3699999999999992</v>
      </c>
      <c r="K27" s="82">
        <f t="shared" si="0"/>
        <v>-1.5877808988764044</v>
      </c>
    </row>
    <row r="28" spans="1:11" s="10" customFormat="1" ht="15.6" x14ac:dyDescent="0.3">
      <c r="A28" s="10" t="s">
        <v>107</v>
      </c>
      <c r="J28" s="34"/>
      <c r="K28" s="83"/>
    </row>
    <row r="29" spans="1:11" x14ac:dyDescent="0.25">
      <c r="A29" s="1" t="s">
        <v>60</v>
      </c>
      <c r="B29" s="1">
        <v>-2.1030000000000002</v>
      </c>
      <c r="C29" s="1">
        <v>-0.81599999999999995</v>
      </c>
      <c r="D29" s="1">
        <v>0.122</v>
      </c>
      <c r="E29" s="1">
        <v>1.64</v>
      </c>
      <c r="F29" s="1">
        <v>2.64</v>
      </c>
      <c r="G29" s="1">
        <v>-1.52</v>
      </c>
      <c r="H29" s="1">
        <v>2.27</v>
      </c>
      <c r="I29" s="1">
        <v>2.1</v>
      </c>
      <c r="J29" s="29">
        <v>-1.35</v>
      </c>
      <c r="K29" s="81">
        <f t="shared" si="0"/>
        <v>-1.6428571428571428</v>
      </c>
    </row>
    <row r="30" spans="1:11" x14ac:dyDescent="0.25">
      <c r="A30" s="1" t="s">
        <v>61</v>
      </c>
      <c r="B30" s="1">
        <v>3.7850000000000001</v>
      </c>
      <c r="C30" s="1">
        <v>1.6819999999999999</v>
      </c>
      <c r="D30" s="1">
        <v>0.86499999999999999</v>
      </c>
      <c r="E30" s="1">
        <v>0.98</v>
      </c>
      <c r="F30" s="1">
        <v>2.62</v>
      </c>
      <c r="G30" s="1">
        <v>5.26</v>
      </c>
      <c r="H30" s="1">
        <v>3.74</v>
      </c>
      <c r="I30" s="1">
        <v>6.01</v>
      </c>
      <c r="J30" s="29">
        <v>8.11</v>
      </c>
      <c r="K30" s="81">
        <f t="shared" si="0"/>
        <v>0.34941763727121455</v>
      </c>
    </row>
    <row r="31" spans="1:11" x14ac:dyDescent="0.25">
      <c r="A31" s="1" t="s">
        <v>62</v>
      </c>
      <c r="B31" s="1">
        <v>1.6819999999999999</v>
      </c>
      <c r="C31" s="1">
        <v>0.86499999999999999</v>
      </c>
      <c r="D31" s="1">
        <v>0.98699999999999999</v>
      </c>
      <c r="E31" s="1">
        <v>2.62</v>
      </c>
      <c r="F31" s="1">
        <v>5.26</v>
      </c>
      <c r="G31" s="1">
        <v>3.74</v>
      </c>
      <c r="H31" s="1">
        <v>6.01</v>
      </c>
      <c r="I31" s="1">
        <v>8.11</v>
      </c>
      <c r="J31" s="29">
        <v>6.76</v>
      </c>
      <c r="K31" s="81">
        <f t="shared" si="0"/>
        <v>-0.16646115906288528</v>
      </c>
    </row>
  </sheetData>
  <pageMargins left="0.25" right="0.25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8"/>
  <sheetViews>
    <sheetView zoomScaleNormal="100" workbookViewId="0">
      <pane xSplit="1" ySplit="1" topLeftCell="U2" activePane="bottomRight" state="frozenSplit"/>
      <selection pane="topRight" activeCell="B1" sqref="B1"/>
      <selection pane="bottomLeft" activeCell="A2" sqref="A2"/>
      <selection pane="bottomRight" activeCell="AE20" sqref="AE20"/>
    </sheetView>
  </sheetViews>
  <sheetFormatPr defaultColWidth="10.54296875" defaultRowHeight="15" x14ac:dyDescent="0.25"/>
  <cols>
    <col min="1" max="1" width="36.36328125" style="1" customWidth="1"/>
    <col min="2" max="15" width="10.54296875" style="1" customWidth="1"/>
    <col min="16" max="28" width="10.54296875" style="1"/>
    <col min="29" max="29" width="10.54296875" style="8"/>
    <col min="30" max="30" width="11" style="3" customWidth="1"/>
    <col min="31" max="31" width="10.54296875" style="3"/>
    <col min="32" max="16384" width="10.54296875" style="1"/>
  </cols>
  <sheetData>
    <row r="1" spans="1:33" s="4" customFormat="1" ht="15.6" x14ac:dyDescent="0.3">
      <c r="A1" s="6" t="s">
        <v>106</v>
      </c>
      <c r="B1" s="4" t="s">
        <v>88</v>
      </c>
      <c r="C1" s="4" t="s">
        <v>89</v>
      </c>
      <c r="D1" s="4" t="s">
        <v>90</v>
      </c>
      <c r="E1" s="4" t="s">
        <v>91</v>
      </c>
      <c r="F1" s="4" t="s">
        <v>92</v>
      </c>
      <c r="G1" s="4" t="s">
        <v>138</v>
      </c>
      <c r="H1" s="4" t="s">
        <v>139</v>
      </c>
      <c r="I1" s="4" t="s">
        <v>143</v>
      </c>
      <c r="J1" s="4" t="s">
        <v>144</v>
      </c>
      <c r="K1" s="4" t="s">
        <v>146</v>
      </c>
      <c r="L1" s="4" t="s">
        <v>148</v>
      </c>
      <c r="M1" s="4" t="s">
        <v>150</v>
      </c>
      <c r="N1" s="4" t="s">
        <v>152</v>
      </c>
      <c r="O1" s="4" t="s">
        <v>154</v>
      </c>
      <c r="P1" s="4" t="s">
        <v>156</v>
      </c>
      <c r="Q1" s="4" t="s">
        <v>158</v>
      </c>
      <c r="R1" s="4" t="s">
        <v>160</v>
      </c>
      <c r="S1" s="4" t="s">
        <v>176</v>
      </c>
      <c r="T1" s="4" t="s">
        <v>178</v>
      </c>
      <c r="U1" s="4" t="s">
        <v>180</v>
      </c>
      <c r="V1" s="4" t="s">
        <v>182</v>
      </c>
      <c r="W1" s="4" t="s">
        <v>184</v>
      </c>
      <c r="X1" s="4" t="s">
        <v>187</v>
      </c>
      <c r="Y1" s="4" t="s">
        <v>190</v>
      </c>
      <c r="Z1" s="4" t="s">
        <v>191</v>
      </c>
      <c r="AA1" s="4" t="s">
        <v>193</v>
      </c>
      <c r="AB1" s="4" t="s">
        <v>197</v>
      </c>
      <c r="AC1" s="7" t="s">
        <v>199</v>
      </c>
      <c r="AD1" s="4" t="s">
        <v>70</v>
      </c>
      <c r="AE1" s="4" t="s">
        <v>69</v>
      </c>
    </row>
    <row r="2" spans="1:33" s="4" customFormat="1" ht="15.6" x14ac:dyDescent="0.3">
      <c r="A2" s="1" t="s">
        <v>186</v>
      </c>
      <c r="W2" s="1">
        <v>0.03</v>
      </c>
      <c r="X2" s="1">
        <v>5.72</v>
      </c>
      <c r="Y2" s="1">
        <v>2.41</v>
      </c>
      <c r="Z2" s="1">
        <v>1.75</v>
      </c>
      <c r="AA2" s="1">
        <v>0</v>
      </c>
      <c r="AB2" s="1">
        <v>0</v>
      </c>
      <c r="AC2" s="57">
        <v>0</v>
      </c>
      <c r="AD2" s="81">
        <v>0</v>
      </c>
      <c r="AE2" s="81">
        <f>AC2/Y2-1</f>
        <v>-1</v>
      </c>
      <c r="AG2" s="1"/>
    </row>
    <row r="3" spans="1:33" x14ac:dyDescent="0.25">
      <c r="A3" s="1" t="s">
        <v>65</v>
      </c>
      <c r="B3" s="1">
        <v>0.11254</v>
      </c>
      <c r="C3" s="1">
        <v>1.9519999999999999E-2</v>
      </c>
      <c r="D3" s="1">
        <v>3.9899999999999998E-2</v>
      </c>
      <c r="E3" s="1">
        <v>0.65347999999999995</v>
      </c>
      <c r="F3" s="1">
        <v>0.17580000000000001</v>
      </c>
      <c r="G3" s="1">
        <v>0.4</v>
      </c>
      <c r="H3" s="1">
        <f>(1011.3-481.5)/1000</f>
        <v>0.52979999999999994</v>
      </c>
      <c r="I3" s="1">
        <f>1151.9/1000</f>
        <v>1.1519000000000001</v>
      </c>
      <c r="J3" s="1">
        <v>0.156</v>
      </c>
      <c r="K3" s="1">
        <v>0.22</v>
      </c>
      <c r="L3" s="1">
        <v>0.41</v>
      </c>
      <c r="M3" s="1">
        <v>0.08</v>
      </c>
      <c r="N3" s="1">
        <v>0</v>
      </c>
      <c r="O3" s="1">
        <v>0</v>
      </c>
      <c r="P3" s="1">
        <v>0.2</v>
      </c>
      <c r="Q3" s="1">
        <v>7.0000000000000007E-2</v>
      </c>
      <c r="R3" s="1">
        <v>7.0000000000000007E-2</v>
      </c>
      <c r="S3" s="1">
        <v>0</v>
      </c>
      <c r="T3" s="66">
        <f>0.07+0.09+0.02</f>
        <v>0.18</v>
      </c>
      <c r="U3" s="66">
        <v>7.0000000000000007E-2</v>
      </c>
      <c r="V3" s="66">
        <v>0.09</v>
      </c>
      <c r="W3" s="66">
        <v>0.31000000000000005</v>
      </c>
      <c r="X3" s="66">
        <v>1.1000000000000001</v>
      </c>
      <c r="Y3" s="66">
        <v>0</v>
      </c>
      <c r="Z3" s="66">
        <v>0.3</v>
      </c>
      <c r="AA3" s="66">
        <v>1.59</v>
      </c>
      <c r="AB3" s="66">
        <v>1.1499999999999999</v>
      </c>
      <c r="AC3" s="57">
        <v>0.65</v>
      </c>
      <c r="AD3" s="84">
        <f t="shared" ref="AD3:AD8" si="0">AC3/AB3-1</f>
        <v>-0.43478260869565211</v>
      </c>
      <c r="AE3" s="84">
        <v>0</v>
      </c>
    </row>
    <row r="4" spans="1:33" x14ac:dyDescent="0.25">
      <c r="A4" s="1" t="s">
        <v>66</v>
      </c>
      <c r="B4" s="1">
        <v>0.14135</v>
      </c>
      <c r="C4" s="1">
        <v>4.9070000000000003E-2</v>
      </c>
      <c r="D4" s="1">
        <v>0.43437999999999999</v>
      </c>
      <c r="E4" s="1">
        <v>0.29980000000000001</v>
      </c>
      <c r="F4" s="1">
        <v>6.8400000000000002E-2</v>
      </c>
      <c r="G4" s="1">
        <v>7.0000000000000007E-2</v>
      </c>
      <c r="H4" s="1">
        <v>0.37569999999999998</v>
      </c>
      <c r="I4" s="1">
        <f>500.28/1000</f>
        <v>0.50027999999999995</v>
      </c>
      <c r="J4" s="1">
        <v>1.0064</v>
      </c>
      <c r="K4" s="1">
        <v>0.37</v>
      </c>
      <c r="L4" s="1">
        <v>0.23</v>
      </c>
      <c r="M4" s="1">
        <v>0.01</v>
      </c>
      <c r="N4" s="1">
        <v>0</v>
      </c>
      <c r="O4" s="1">
        <v>0.13</v>
      </c>
      <c r="P4" s="1">
        <v>0</v>
      </c>
      <c r="Q4" s="1">
        <v>0</v>
      </c>
      <c r="R4" s="1">
        <v>0.03</v>
      </c>
      <c r="S4" s="1">
        <v>0</v>
      </c>
      <c r="T4" s="66">
        <v>0.03</v>
      </c>
      <c r="U4" s="66">
        <v>0.44</v>
      </c>
      <c r="V4" s="66">
        <v>0</v>
      </c>
      <c r="W4" s="66">
        <v>0</v>
      </c>
      <c r="X4" s="66">
        <v>0.15</v>
      </c>
      <c r="Y4" s="66">
        <v>0.03</v>
      </c>
      <c r="Z4" s="66">
        <v>0</v>
      </c>
      <c r="AA4" s="66">
        <v>0</v>
      </c>
      <c r="AB4" s="66">
        <v>0</v>
      </c>
      <c r="AC4" s="57">
        <v>0</v>
      </c>
      <c r="AD4" s="84">
        <v>0</v>
      </c>
      <c r="AE4" s="84">
        <f t="shared" ref="AE4:AE8" si="1">AC4/Y4-1</f>
        <v>-1</v>
      </c>
    </row>
    <row r="5" spans="1:33" x14ac:dyDescent="0.25">
      <c r="A5" s="1" t="s">
        <v>67</v>
      </c>
      <c r="B5" s="1">
        <v>0.40237000000000001</v>
      </c>
      <c r="C5" s="1">
        <v>7.7579999999999996E-2</v>
      </c>
      <c r="D5" s="1">
        <v>1.75109</v>
      </c>
      <c r="E5" s="1">
        <v>0.41781000000000001</v>
      </c>
      <c r="F5" s="1">
        <v>5.9499999999999997E-2</v>
      </c>
      <c r="G5" s="1">
        <v>0.06</v>
      </c>
      <c r="H5" s="1">
        <f>(302.5+1.6+86.6+481.5)/1000</f>
        <v>0.87220000000000009</v>
      </c>
      <c r="I5" s="1">
        <f>4511.24/1000</f>
        <v>4.5112399999999999</v>
      </c>
      <c r="J5" s="1">
        <v>1.976</v>
      </c>
      <c r="K5" s="1">
        <v>1.98</v>
      </c>
      <c r="L5" s="1">
        <v>2.57</v>
      </c>
      <c r="M5" s="1">
        <v>0.68</v>
      </c>
      <c r="N5" s="1">
        <v>0.5</v>
      </c>
      <c r="O5" s="1">
        <v>2.84</v>
      </c>
      <c r="P5" s="1">
        <v>0</v>
      </c>
      <c r="Q5" s="1">
        <v>0.44</v>
      </c>
      <c r="R5" s="1">
        <v>0.22</v>
      </c>
      <c r="S5" s="1">
        <v>0.39800000000000002</v>
      </c>
      <c r="T5" s="66">
        <f>1.14-0.09-0.02</f>
        <v>1.0299999999999998</v>
      </c>
      <c r="U5" s="66">
        <v>0</v>
      </c>
      <c r="V5" s="66">
        <v>0.06</v>
      </c>
      <c r="W5" s="66">
        <v>0</v>
      </c>
      <c r="X5" s="66">
        <v>0.76</v>
      </c>
      <c r="Y5" s="66">
        <v>0.87</v>
      </c>
      <c r="Z5" s="66">
        <v>0.13</v>
      </c>
      <c r="AA5" s="66">
        <v>0.53</v>
      </c>
      <c r="AB5" s="66">
        <v>0.46</v>
      </c>
      <c r="AC5" s="57">
        <v>0.53</v>
      </c>
      <c r="AD5" s="84">
        <f t="shared" si="0"/>
        <v>0.15217391304347827</v>
      </c>
      <c r="AE5" s="84">
        <f t="shared" si="1"/>
        <v>-0.39080459770114939</v>
      </c>
    </row>
    <row r="6" spans="1:33" x14ac:dyDescent="0.25">
      <c r="A6" s="1" t="s">
        <v>68</v>
      </c>
      <c r="B6" s="1">
        <v>0.44679999999999997</v>
      </c>
      <c r="C6" s="1">
        <v>0.56025000000000003</v>
      </c>
      <c r="D6" s="1">
        <v>0.45685999999999999</v>
      </c>
      <c r="E6" s="1">
        <v>1.09355</v>
      </c>
      <c r="F6" s="1">
        <f>0.0262+0.25</f>
        <v>0.2762</v>
      </c>
      <c r="G6" s="1">
        <v>0.6</v>
      </c>
      <c r="H6" s="1">
        <v>1.0318799999999999</v>
      </c>
      <c r="I6" s="1">
        <f>1524.18/1000</f>
        <v>1.5241800000000001</v>
      </c>
      <c r="J6" s="1">
        <v>1.1000000000000001</v>
      </c>
      <c r="K6" s="1">
        <v>2.02</v>
      </c>
      <c r="L6" s="1">
        <v>1.04</v>
      </c>
      <c r="M6" s="1">
        <v>1.48</v>
      </c>
      <c r="N6" s="1">
        <v>1.5</v>
      </c>
      <c r="O6" s="1">
        <v>1.1000000000000001</v>
      </c>
      <c r="P6" s="1">
        <v>1.49</v>
      </c>
      <c r="Q6" s="1">
        <v>0.87</v>
      </c>
      <c r="R6" s="1">
        <v>0.24</v>
      </c>
      <c r="S6" s="1">
        <v>0.17</v>
      </c>
      <c r="T6" s="66">
        <v>2.72</v>
      </c>
      <c r="U6" s="66">
        <v>1.52</v>
      </c>
      <c r="V6" s="66">
        <v>0.9</v>
      </c>
      <c r="W6" s="66">
        <v>0</v>
      </c>
      <c r="X6" s="66">
        <v>0.7</v>
      </c>
      <c r="Y6" s="66">
        <v>1.02</v>
      </c>
      <c r="Z6" s="66">
        <f>0.12+0.8</f>
        <v>0.92</v>
      </c>
      <c r="AA6" s="66">
        <v>0.52</v>
      </c>
      <c r="AB6" s="66">
        <v>0.82</v>
      </c>
      <c r="AC6" s="57">
        <v>1.0900000000000001</v>
      </c>
      <c r="AD6" s="84">
        <f t="shared" si="0"/>
        <v>0.3292682926829269</v>
      </c>
      <c r="AE6" s="84">
        <f t="shared" si="1"/>
        <v>6.8627450980392135E-2</v>
      </c>
    </row>
    <row r="7" spans="1:33" x14ac:dyDescent="0.25">
      <c r="A7" s="1" t="s">
        <v>87</v>
      </c>
      <c r="B7" s="1">
        <v>5.586E-2</v>
      </c>
      <c r="C7" s="1">
        <v>6.8409999999999999E-2</v>
      </c>
      <c r="D7" s="1">
        <v>3.7019999999999997E-2</v>
      </c>
      <c r="E7" s="1">
        <v>0.10218000000000001</v>
      </c>
      <c r="F7" s="1">
        <v>3.866E-2</v>
      </c>
      <c r="G7" s="1">
        <v>0.1</v>
      </c>
      <c r="H7" s="1">
        <f>(477.76-302.5)/1000</f>
        <v>0.17526</v>
      </c>
      <c r="I7" s="1">
        <f>313.17/1000</f>
        <v>0.31317</v>
      </c>
      <c r="J7" s="1">
        <v>2.7E-2</v>
      </c>
      <c r="K7" s="1">
        <v>0.1</v>
      </c>
      <c r="L7" s="1">
        <v>0.4</v>
      </c>
      <c r="M7" s="1">
        <v>0.05</v>
      </c>
      <c r="N7" s="1">
        <v>0.04</v>
      </c>
      <c r="O7" s="1">
        <v>0.02</v>
      </c>
      <c r="P7" s="1">
        <v>0</v>
      </c>
      <c r="Q7" s="1">
        <v>0.04</v>
      </c>
      <c r="R7" s="1">
        <v>0.22</v>
      </c>
      <c r="S7" s="1">
        <v>0.03</v>
      </c>
      <c r="T7" s="66">
        <v>0.3</v>
      </c>
      <c r="U7" s="66">
        <v>0</v>
      </c>
      <c r="V7" s="66">
        <v>0</v>
      </c>
      <c r="W7" s="66">
        <v>0.04</v>
      </c>
      <c r="X7" s="66">
        <v>0.02</v>
      </c>
      <c r="Y7" s="66">
        <v>0.04</v>
      </c>
      <c r="Z7" s="66">
        <v>0.55000000000000004</v>
      </c>
      <c r="AA7" s="66">
        <v>0.04</v>
      </c>
      <c r="AB7" s="66">
        <v>0.03</v>
      </c>
      <c r="AC7" s="57">
        <v>0.01</v>
      </c>
      <c r="AD7" s="84">
        <f t="shared" si="0"/>
        <v>-0.66666666666666663</v>
      </c>
      <c r="AE7" s="84">
        <f t="shared" si="1"/>
        <v>-0.75</v>
      </c>
    </row>
    <row r="8" spans="1:33" s="4" customFormat="1" ht="15.6" x14ac:dyDescent="0.3">
      <c r="A8" s="4" t="s">
        <v>71</v>
      </c>
      <c r="B8" s="4">
        <f>SUM(B3:B7)</f>
        <v>1.1589200000000002</v>
      </c>
      <c r="C8" s="4">
        <f t="shared" ref="C8:H8" si="2">SUM(C3:C7)</f>
        <v>0.77483000000000002</v>
      </c>
      <c r="D8" s="4">
        <f t="shared" si="2"/>
        <v>2.7192499999999997</v>
      </c>
      <c r="E8" s="4">
        <f t="shared" si="2"/>
        <v>2.5668200000000003</v>
      </c>
      <c r="F8" s="4">
        <f t="shared" si="2"/>
        <v>0.61856000000000011</v>
      </c>
      <c r="G8" s="4">
        <f t="shared" si="2"/>
        <v>1.23</v>
      </c>
      <c r="H8" s="4">
        <f t="shared" si="2"/>
        <v>2.9848400000000002</v>
      </c>
      <c r="I8" s="4">
        <f t="shared" ref="I8:M8" si="3">SUM(I3:I7)</f>
        <v>8.000770000000001</v>
      </c>
      <c r="J8" s="4">
        <f t="shared" si="3"/>
        <v>4.2654000000000005</v>
      </c>
      <c r="K8" s="4">
        <f t="shared" si="3"/>
        <v>4.6899999999999995</v>
      </c>
      <c r="L8" s="4">
        <f t="shared" si="3"/>
        <v>4.6500000000000004</v>
      </c>
      <c r="M8" s="4">
        <f t="shared" si="3"/>
        <v>2.2999999999999998</v>
      </c>
      <c r="N8" s="4">
        <f t="shared" ref="N8:Q8" si="4">SUM(N3:N7)</f>
        <v>2.04</v>
      </c>
      <c r="O8" s="4">
        <f t="shared" si="4"/>
        <v>4.09</v>
      </c>
      <c r="P8" s="4">
        <f t="shared" si="4"/>
        <v>1.69</v>
      </c>
      <c r="Q8" s="4">
        <f t="shared" si="4"/>
        <v>1.42</v>
      </c>
      <c r="R8" s="4">
        <f t="shared" ref="R8:V8" si="5">SUM(R3:R7)</f>
        <v>0.78</v>
      </c>
      <c r="S8" s="4">
        <f t="shared" si="5"/>
        <v>0.59800000000000009</v>
      </c>
      <c r="T8" s="67">
        <f t="shared" si="5"/>
        <v>4.26</v>
      </c>
      <c r="U8" s="67">
        <f t="shared" si="5"/>
        <v>2.0300000000000002</v>
      </c>
      <c r="V8" s="67">
        <f t="shared" si="5"/>
        <v>1.05</v>
      </c>
      <c r="W8" s="67">
        <f t="shared" ref="W8:AB8" si="6">SUM(W2:W7)</f>
        <v>0.38000000000000006</v>
      </c>
      <c r="X8" s="67">
        <f t="shared" si="6"/>
        <v>8.4499999999999993</v>
      </c>
      <c r="Y8" s="67">
        <f t="shared" si="6"/>
        <v>4.37</v>
      </c>
      <c r="Z8" s="67">
        <f t="shared" si="6"/>
        <v>3.6499999999999995</v>
      </c>
      <c r="AA8" s="67">
        <f t="shared" si="6"/>
        <v>2.68</v>
      </c>
      <c r="AB8" s="67">
        <f t="shared" si="6"/>
        <v>2.4599999999999995</v>
      </c>
      <c r="AC8" s="58">
        <f>SUM(AC2:AC7)</f>
        <v>2.2800000000000002</v>
      </c>
      <c r="AD8" s="85">
        <f t="shared" si="0"/>
        <v>-7.3170731707316805E-2</v>
      </c>
      <c r="AE8" s="85">
        <f t="shared" si="1"/>
        <v>-0.47826086956521729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11"/>
  <sheetViews>
    <sheetView zoomScaleNormal="100" zoomScalePageLayoutView="120" workbookViewId="0">
      <pane xSplit="1" ySplit="1" topLeftCell="Y2" activePane="bottomRight" state="frozenSplit"/>
      <selection pane="topRight" activeCell="B1" sqref="B1"/>
      <selection pane="bottomLeft" activeCell="A2" sqref="A2"/>
      <selection pane="bottomRight" activeCell="AE16" sqref="AE16"/>
    </sheetView>
  </sheetViews>
  <sheetFormatPr defaultColWidth="10.54296875" defaultRowHeight="15" x14ac:dyDescent="0.25"/>
  <cols>
    <col min="1" max="1" width="34.54296875" style="15" bestFit="1" customWidth="1"/>
    <col min="2" max="35" width="7" style="15" bestFit="1" customWidth="1"/>
    <col min="36" max="36" width="7" style="15" customWidth="1"/>
    <col min="37" max="37" width="8" style="16" customWidth="1"/>
    <col min="38" max="16384" width="10.54296875" style="15"/>
  </cols>
  <sheetData>
    <row r="1" spans="1:39" s="14" customFormat="1" ht="15.6" x14ac:dyDescent="0.3">
      <c r="A1" s="13" t="s">
        <v>115</v>
      </c>
      <c r="B1" s="14" t="s">
        <v>108</v>
      </c>
      <c r="C1" s="14" t="s">
        <v>109</v>
      </c>
      <c r="D1" s="14" t="s">
        <v>110</v>
      </c>
      <c r="E1" s="14" t="s">
        <v>111</v>
      </c>
      <c r="F1" s="14" t="s">
        <v>112</v>
      </c>
      <c r="G1" s="14" t="s">
        <v>83</v>
      </c>
      <c r="H1" s="14" t="s">
        <v>84</v>
      </c>
      <c r="I1" s="14" t="s">
        <v>85</v>
      </c>
      <c r="J1" s="14" t="s">
        <v>88</v>
      </c>
      <c r="K1" s="14" t="s">
        <v>89</v>
      </c>
      <c r="L1" s="14" t="s">
        <v>90</v>
      </c>
      <c r="M1" s="14" t="s">
        <v>91</v>
      </c>
      <c r="N1" s="14" t="s">
        <v>92</v>
      </c>
      <c r="O1" s="14" t="s">
        <v>138</v>
      </c>
      <c r="P1" s="14" t="s">
        <v>139</v>
      </c>
      <c r="Q1" s="14" t="s">
        <v>143</v>
      </c>
      <c r="R1" s="14" t="s">
        <v>144</v>
      </c>
      <c r="S1" s="14" t="s">
        <v>146</v>
      </c>
      <c r="T1" s="14" t="s">
        <v>148</v>
      </c>
      <c r="U1" s="14" t="s">
        <v>150</v>
      </c>
      <c r="V1" s="14" t="s">
        <v>152</v>
      </c>
      <c r="W1" s="14" t="s">
        <v>154</v>
      </c>
      <c r="X1" s="14" t="s">
        <v>156</v>
      </c>
      <c r="Y1" s="14" t="s">
        <v>158</v>
      </c>
      <c r="Z1" s="14" t="s">
        <v>160</v>
      </c>
      <c r="AA1" s="14" t="s">
        <v>176</v>
      </c>
      <c r="AB1" s="14" t="s">
        <v>178</v>
      </c>
      <c r="AC1" s="14" t="s">
        <v>180</v>
      </c>
      <c r="AD1" s="14" t="s">
        <v>182</v>
      </c>
      <c r="AE1" s="14" t="s">
        <v>184</v>
      </c>
      <c r="AF1" s="14" t="s">
        <v>187</v>
      </c>
      <c r="AG1" s="14" t="s">
        <v>190</v>
      </c>
      <c r="AH1" s="14" t="s">
        <v>191</v>
      </c>
      <c r="AI1" s="14" t="s">
        <v>193</v>
      </c>
      <c r="AJ1" s="14" t="s">
        <v>197</v>
      </c>
      <c r="AK1" s="43" t="s">
        <v>199</v>
      </c>
      <c r="AL1" s="5" t="s">
        <v>70</v>
      </c>
      <c r="AM1" s="5" t="s">
        <v>69</v>
      </c>
    </row>
    <row r="2" spans="1:39" s="10" customFormat="1" ht="15.6" x14ac:dyDescent="0.3">
      <c r="A2" s="10" t="s">
        <v>4</v>
      </c>
      <c r="G2" s="11"/>
    </row>
    <row r="3" spans="1:39" x14ac:dyDescent="0.25">
      <c r="A3" s="15" t="s">
        <v>116</v>
      </c>
      <c r="B3" s="15">
        <v>398</v>
      </c>
      <c r="C3" s="15">
        <v>399</v>
      </c>
      <c r="D3" s="15">
        <v>440</v>
      </c>
      <c r="E3" s="15">
        <v>437</v>
      </c>
      <c r="F3" s="15">
        <v>443</v>
      </c>
      <c r="G3" s="15">
        <v>452</v>
      </c>
      <c r="H3" s="15">
        <v>484</v>
      </c>
      <c r="I3" s="15">
        <v>465</v>
      </c>
      <c r="J3" s="15">
        <v>475</v>
      </c>
      <c r="K3" s="15">
        <v>492</v>
      </c>
      <c r="L3" s="15">
        <v>532</v>
      </c>
      <c r="M3" s="15">
        <v>527</v>
      </c>
      <c r="N3" s="15">
        <v>539</v>
      </c>
      <c r="O3" s="15">
        <v>534</v>
      </c>
      <c r="P3" s="15">
        <v>555</v>
      </c>
      <c r="Q3" s="15">
        <v>576</v>
      </c>
      <c r="R3" s="15">
        <v>596</v>
      </c>
      <c r="S3" s="15">
        <v>607</v>
      </c>
      <c r="T3" s="15">
        <v>622</v>
      </c>
      <c r="U3" s="15">
        <v>619</v>
      </c>
      <c r="V3" s="15">
        <v>620</v>
      </c>
      <c r="W3" s="15">
        <v>603</v>
      </c>
      <c r="X3" s="15">
        <v>591</v>
      </c>
      <c r="Y3" s="15">
        <v>579</v>
      </c>
      <c r="Z3" s="15">
        <v>568</v>
      </c>
      <c r="AA3" s="15">
        <v>528</v>
      </c>
      <c r="AB3" s="15">
        <v>507</v>
      </c>
      <c r="AC3" s="15">
        <v>503</v>
      </c>
      <c r="AD3" s="15">
        <v>503</v>
      </c>
      <c r="AE3" s="15">
        <v>494</v>
      </c>
      <c r="AF3" s="15">
        <v>475</v>
      </c>
      <c r="AG3" s="15">
        <v>474</v>
      </c>
      <c r="AH3" s="15">
        <v>473</v>
      </c>
      <c r="AI3" s="15">
        <v>476</v>
      </c>
      <c r="AJ3" s="15">
        <v>470</v>
      </c>
      <c r="AK3" s="16">
        <v>467</v>
      </c>
      <c r="AL3" s="12">
        <f>AK3/AJ3-1</f>
        <v>-6.382978723404209E-3</v>
      </c>
      <c r="AM3" s="12">
        <f>AK3/AG3-1</f>
        <v>-1.4767932489451518E-2</v>
      </c>
    </row>
    <row r="4" spans="1:39" s="10" customFormat="1" ht="15.6" x14ac:dyDescent="0.3">
      <c r="A4" s="10" t="s">
        <v>113</v>
      </c>
      <c r="G4" s="11"/>
    </row>
    <row r="5" spans="1:39" s="24" customFormat="1" x14ac:dyDescent="0.25">
      <c r="A5" s="23" t="s">
        <v>5</v>
      </c>
      <c r="B5" s="24">
        <v>0.38</v>
      </c>
      <c r="C5" s="24">
        <v>0.4</v>
      </c>
      <c r="D5" s="24">
        <v>0.39</v>
      </c>
      <c r="E5" s="24">
        <v>0.41</v>
      </c>
      <c r="F5" s="24">
        <v>0.42</v>
      </c>
      <c r="G5" s="24">
        <v>0.42</v>
      </c>
      <c r="H5" s="24">
        <v>0.41</v>
      </c>
      <c r="I5" s="24">
        <v>0.44</v>
      </c>
      <c r="J5" s="24">
        <v>0.44</v>
      </c>
      <c r="K5" s="24">
        <v>0.44</v>
      </c>
      <c r="L5" s="24">
        <v>0.43</v>
      </c>
      <c r="M5" s="24">
        <v>0.45</v>
      </c>
      <c r="N5" s="24">
        <v>0.45</v>
      </c>
      <c r="O5" s="24">
        <v>0.46</v>
      </c>
      <c r="P5" s="24">
        <v>0.47</v>
      </c>
      <c r="Q5" s="24">
        <v>0.49</v>
      </c>
      <c r="R5" s="24">
        <v>0.5</v>
      </c>
      <c r="S5" s="24">
        <v>0.51</v>
      </c>
      <c r="T5" s="24">
        <v>0.52</v>
      </c>
      <c r="U5" s="24">
        <v>0.52</v>
      </c>
      <c r="V5" s="24">
        <v>0.51</v>
      </c>
      <c r="W5" s="24">
        <v>0.52</v>
      </c>
      <c r="X5" s="24">
        <v>0.52</v>
      </c>
      <c r="Y5" s="24">
        <v>0.52</v>
      </c>
      <c r="Z5" s="24">
        <v>0.52</v>
      </c>
      <c r="AA5" s="24">
        <v>0.53</v>
      </c>
      <c r="AB5" s="24">
        <v>0.54</v>
      </c>
      <c r="AC5" s="24">
        <v>0.54</v>
      </c>
      <c r="AD5" s="24">
        <v>0.54</v>
      </c>
      <c r="AE5" s="24">
        <v>0.54</v>
      </c>
      <c r="AF5" s="24">
        <v>0.54</v>
      </c>
      <c r="AG5" s="24">
        <v>0.54</v>
      </c>
      <c r="AH5" s="24">
        <v>0.56000000000000005</v>
      </c>
      <c r="AI5" s="24">
        <v>0.56999999999999995</v>
      </c>
      <c r="AJ5" s="86">
        <v>0.57999999999999996</v>
      </c>
      <c r="AK5" s="75">
        <v>0.56000000000000005</v>
      </c>
      <c r="AL5" s="12">
        <f t="shared" ref="AL5:AL11" si="0">AK5/AJ5-1</f>
        <v>-3.4482758620689502E-2</v>
      </c>
      <c r="AM5" s="12">
        <f t="shared" ref="AM5:AM11" si="1">AK5/AG5-1</f>
        <v>3.7037037037036979E-2</v>
      </c>
    </row>
    <row r="6" spans="1:39" s="24" customFormat="1" x14ac:dyDescent="0.25">
      <c r="A6" s="23" t="s">
        <v>6</v>
      </c>
      <c r="B6" s="24">
        <v>0.33</v>
      </c>
      <c r="C6" s="24">
        <v>0.32</v>
      </c>
      <c r="D6" s="24">
        <v>0.33</v>
      </c>
      <c r="E6" s="24">
        <v>0.33</v>
      </c>
      <c r="F6" s="24">
        <v>0.34</v>
      </c>
      <c r="G6" s="24">
        <v>0.34</v>
      </c>
      <c r="H6" s="24">
        <v>0.36</v>
      </c>
      <c r="I6" s="24">
        <v>0.34</v>
      </c>
      <c r="J6" s="24">
        <v>0.36</v>
      </c>
      <c r="K6" s="24">
        <v>0.36</v>
      </c>
      <c r="L6" s="24">
        <v>0.35</v>
      </c>
      <c r="M6" s="24">
        <v>0.35</v>
      </c>
      <c r="N6" s="24">
        <v>0.35</v>
      </c>
      <c r="O6" s="24">
        <v>0.35</v>
      </c>
      <c r="P6" s="24">
        <v>0.34</v>
      </c>
      <c r="Q6" s="24">
        <v>0.33</v>
      </c>
      <c r="R6" s="24">
        <v>0.32</v>
      </c>
      <c r="S6" s="24">
        <v>0.31</v>
      </c>
      <c r="T6" s="24">
        <v>0.31</v>
      </c>
      <c r="U6" s="24">
        <v>0.31</v>
      </c>
      <c r="V6" s="24">
        <v>0.32</v>
      </c>
      <c r="W6" s="24">
        <v>0.32</v>
      </c>
      <c r="X6" s="24">
        <v>0.31</v>
      </c>
      <c r="Y6" s="24">
        <v>0.31</v>
      </c>
      <c r="Z6" s="24">
        <v>0.31</v>
      </c>
      <c r="AA6" s="24">
        <v>0.3</v>
      </c>
      <c r="AB6" s="24">
        <v>0.3</v>
      </c>
      <c r="AC6" s="24">
        <v>0.3</v>
      </c>
      <c r="AD6" s="24">
        <v>0.3</v>
      </c>
      <c r="AE6" s="24">
        <v>0.3</v>
      </c>
      <c r="AF6" s="24">
        <v>0.3</v>
      </c>
      <c r="AG6" s="24">
        <v>0.3</v>
      </c>
      <c r="AH6" s="24">
        <v>0.28000000000000003</v>
      </c>
      <c r="AI6" s="24">
        <v>0.28999999999999998</v>
      </c>
      <c r="AJ6" s="86">
        <v>0.28000000000000003</v>
      </c>
      <c r="AK6" s="75">
        <v>0.28999999999999998</v>
      </c>
      <c r="AL6" s="12">
        <f t="shared" si="0"/>
        <v>3.5714285714285587E-2</v>
      </c>
      <c r="AM6" s="12">
        <f t="shared" si="1"/>
        <v>-3.3333333333333326E-2</v>
      </c>
    </row>
    <row r="7" spans="1:39" s="24" customFormat="1" x14ac:dyDescent="0.25">
      <c r="A7" s="23" t="s">
        <v>7</v>
      </c>
      <c r="B7" s="24">
        <v>0.24</v>
      </c>
      <c r="C7" s="24">
        <v>0.23</v>
      </c>
      <c r="D7" s="24">
        <v>0.24</v>
      </c>
      <c r="E7" s="24">
        <v>0.22</v>
      </c>
      <c r="F7" s="24">
        <v>0.2</v>
      </c>
      <c r="G7" s="24">
        <v>0.2</v>
      </c>
      <c r="H7" s="24">
        <v>0.19</v>
      </c>
      <c r="I7" s="24">
        <v>0.18</v>
      </c>
      <c r="J7" s="24">
        <v>0.16</v>
      </c>
      <c r="K7" s="24">
        <v>0.16</v>
      </c>
      <c r="L7" s="24">
        <v>0.17</v>
      </c>
      <c r="M7" s="24">
        <v>0.16</v>
      </c>
      <c r="N7" s="24">
        <v>0.16</v>
      </c>
      <c r="O7" s="24">
        <v>0.15</v>
      </c>
      <c r="P7" s="24">
        <v>0.15</v>
      </c>
      <c r="Q7" s="24">
        <v>0.13</v>
      </c>
      <c r="R7" s="24">
        <v>0.13</v>
      </c>
      <c r="S7" s="24">
        <v>0.13</v>
      </c>
      <c r="T7" s="24">
        <v>0.13</v>
      </c>
      <c r="U7" s="24">
        <v>0.13</v>
      </c>
      <c r="V7" s="24">
        <v>0.13</v>
      </c>
      <c r="W7" s="24">
        <v>0.12</v>
      </c>
      <c r="X7" s="24">
        <v>0.13</v>
      </c>
      <c r="Y7" s="24">
        <v>0.13</v>
      </c>
      <c r="Z7" s="24">
        <v>0.13</v>
      </c>
      <c r="AA7" s="24">
        <v>0.13</v>
      </c>
      <c r="AB7" s="24">
        <v>0.12</v>
      </c>
      <c r="AC7" s="24">
        <v>0.12</v>
      </c>
      <c r="AD7" s="24">
        <v>0.12</v>
      </c>
      <c r="AE7" s="24">
        <v>0.12</v>
      </c>
      <c r="AF7" s="24">
        <v>0.12</v>
      </c>
      <c r="AG7" s="24">
        <v>0.12</v>
      </c>
      <c r="AH7" s="24">
        <v>0.12</v>
      </c>
      <c r="AI7" s="24">
        <v>0.11</v>
      </c>
      <c r="AJ7" s="86">
        <v>0.11</v>
      </c>
      <c r="AK7" s="75">
        <v>0.11</v>
      </c>
      <c r="AL7" s="12">
        <f t="shared" si="0"/>
        <v>0</v>
      </c>
      <c r="AM7" s="12">
        <f t="shared" si="1"/>
        <v>-8.3333333333333259E-2</v>
      </c>
    </row>
    <row r="8" spans="1:39" s="24" customFormat="1" x14ac:dyDescent="0.25">
      <c r="A8" s="25" t="s">
        <v>8</v>
      </c>
      <c r="B8" s="24">
        <v>0.05</v>
      </c>
      <c r="C8" s="24">
        <v>0.05</v>
      </c>
      <c r="D8" s="24">
        <v>0.04</v>
      </c>
      <c r="E8" s="24">
        <v>0.04</v>
      </c>
      <c r="F8" s="24">
        <v>0.04</v>
      </c>
      <c r="G8" s="24">
        <v>0.04</v>
      </c>
      <c r="H8" s="24">
        <v>0.04</v>
      </c>
      <c r="I8" s="24">
        <v>0.04</v>
      </c>
      <c r="J8" s="24">
        <v>0.04</v>
      </c>
      <c r="K8" s="24">
        <v>0.04</v>
      </c>
      <c r="L8" s="24">
        <v>0.05</v>
      </c>
      <c r="M8" s="24">
        <v>0.04</v>
      </c>
      <c r="N8" s="24">
        <v>0.04</v>
      </c>
      <c r="O8" s="24">
        <v>0.04</v>
      </c>
      <c r="P8" s="24">
        <v>0.04</v>
      </c>
      <c r="Q8" s="24">
        <v>0.05</v>
      </c>
      <c r="R8" s="24">
        <v>0.05</v>
      </c>
      <c r="S8" s="24">
        <v>0.05</v>
      </c>
      <c r="T8" s="24">
        <v>0.04</v>
      </c>
      <c r="U8" s="24">
        <v>0.04</v>
      </c>
      <c r="V8" s="24">
        <v>0.04</v>
      </c>
      <c r="W8" s="24">
        <v>0.04</v>
      </c>
      <c r="X8" s="24">
        <v>0.04</v>
      </c>
      <c r="Y8" s="24">
        <v>0.04</v>
      </c>
      <c r="Z8" s="24">
        <v>0.04</v>
      </c>
      <c r="AA8" s="24">
        <v>0.04</v>
      </c>
      <c r="AB8" s="24">
        <v>0.04</v>
      </c>
      <c r="AC8" s="24">
        <v>0.04</v>
      </c>
      <c r="AD8" s="24">
        <v>0.04</v>
      </c>
      <c r="AE8" s="24">
        <v>0.04</v>
      </c>
      <c r="AF8" s="24">
        <v>0.04</v>
      </c>
      <c r="AG8" s="24">
        <v>0.04</v>
      </c>
      <c r="AH8" s="24">
        <v>0.04</v>
      </c>
      <c r="AI8" s="24">
        <v>0.03</v>
      </c>
      <c r="AJ8" s="86">
        <v>0.03</v>
      </c>
      <c r="AK8" s="75">
        <v>0.04</v>
      </c>
      <c r="AL8" s="12">
        <f t="shared" si="0"/>
        <v>0.33333333333333348</v>
      </c>
      <c r="AM8" s="12">
        <f t="shared" si="1"/>
        <v>0</v>
      </c>
    </row>
    <row r="9" spans="1:39" s="10" customFormat="1" ht="15.6" x14ac:dyDescent="0.3">
      <c r="A9" s="10" t="s">
        <v>114</v>
      </c>
      <c r="G9" s="11"/>
    </row>
    <row r="10" spans="1:39" s="24" customFormat="1" x14ac:dyDescent="0.25">
      <c r="A10" s="23" t="s">
        <v>9</v>
      </c>
      <c r="B10" s="24">
        <v>0.44</v>
      </c>
      <c r="C10" s="24">
        <v>0.45</v>
      </c>
      <c r="D10" s="24">
        <v>0.44</v>
      </c>
      <c r="E10" s="24">
        <v>0.43</v>
      </c>
      <c r="F10" s="24">
        <v>0.43</v>
      </c>
      <c r="G10" s="24">
        <v>0.44</v>
      </c>
      <c r="H10" s="24">
        <v>0.43</v>
      </c>
      <c r="I10" s="24">
        <v>0.43</v>
      </c>
      <c r="J10" s="24">
        <v>0.42</v>
      </c>
      <c r="K10" s="24">
        <v>0.42</v>
      </c>
      <c r="L10" s="24">
        <v>0.39</v>
      </c>
      <c r="M10" s="24">
        <v>0.42</v>
      </c>
      <c r="N10" s="24">
        <v>0.41</v>
      </c>
      <c r="O10" s="24">
        <v>0.41</v>
      </c>
      <c r="P10" s="24">
        <v>0.42</v>
      </c>
      <c r="Q10" s="24">
        <v>0.41</v>
      </c>
      <c r="R10" s="24">
        <v>0.4</v>
      </c>
      <c r="S10" s="24">
        <v>0.4</v>
      </c>
      <c r="T10" s="24">
        <v>0.39</v>
      </c>
      <c r="U10" s="24">
        <v>0.39</v>
      </c>
      <c r="V10" s="24">
        <v>0.4</v>
      </c>
      <c r="W10" s="24">
        <v>0.4</v>
      </c>
      <c r="X10" s="24">
        <v>0.41</v>
      </c>
      <c r="Y10" s="24">
        <v>0.41</v>
      </c>
      <c r="Z10" s="24">
        <v>0.4</v>
      </c>
      <c r="AA10" s="24">
        <v>0.41</v>
      </c>
      <c r="AB10" s="24">
        <v>0.41</v>
      </c>
      <c r="AC10" s="24">
        <v>0.41</v>
      </c>
      <c r="AD10" s="24">
        <v>0.41</v>
      </c>
      <c r="AE10" s="24">
        <v>0.41</v>
      </c>
      <c r="AF10" s="24">
        <v>0.41</v>
      </c>
      <c r="AG10" s="24">
        <v>0.41</v>
      </c>
      <c r="AH10" s="24">
        <v>0.41</v>
      </c>
      <c r="AI10" s="24">
        <v>0.42</v>
      </c>
      <c r="AJ10" s="86">
        <v>0.4</v>
      </c>
      <c r="AK10" s="75">
        <v>0.42</v>
      </c>
      <c r="AL10" s="12">
        <f t="shared" si="0"/>
        <v>4.9999999999999822E-2</v>
      </c>
      <c r="AM10" s="12">
        <f t="shared" si="1"/>
        <v>2.4390243902439046E-2</v>
      </c>
    </row>
    <row r="11" spans="1:39" s="24" customFormat="1" x14ac:dyDescent="0.25">
      <c r="A11" s="23" t="s">
        <v>10</v>
      </c>
      <c r="B11" s="24">
        <v>0.56000000000000005</v>
      </c>
      <c r="C11" s="24">
        <v>0.55000000000000004</v>
      </c>
      <c r="D11" s="24">
        <v>0.56000000000000005</v>
      </c>
      <c r="E11" s="24">
        <v>0.56999999999999995</v>
      </c>
      <c r="F11" s="24">
        <v>0.56999999999999995</v>
      </c>
      <c r="G11" s="24">
        <v>0.56000000000000005</v>
      </c>
      <c r="H11" s="24">
        <v>0.56999999999999995</v>
      </c>
      <c r="I11" s="24">
        <v>0.56999999999999995</v>
      </c>
      <c r="J11" s="24">
        <v>0.57999999999999996</v>
      </c>
      <c r="K11" s="24">
        <v>0.57999999999999996</v>
      </c>
      <c r="L11" s="24">
        <v>0.61</v>
      </c>
      <c r="M11" s="24">
        <v>0.57999999999999996</v>
      </c>
      <c r="N11" s="24">
        <v>0.59</v>
      </c>
      <c r="O11" s="24">
        <v>0.59</v>
      </c>
      <c r="P11" s="24">
        <v>0.57999999999999996</v>
      </c>
      <c r="Q11" s="24">
        <v>0.59</v>
      </c>
      <c r="R11" s="24">
        <v>0.6</v>
      </c>
      <c r="S11" s="24">
        <v>0.6</v>
      </c>
      <c r="T11" s="24">
        <v>0.61</v>
      </c>
      <c r="U11" s="24">
        <v>0.61</v>
      </c>
      <c r="V11" s="24">
        <v>0.6</v>
      </c>
      <c r="W11" s="24">
        <v>0.6</v>
      </c>
      <c r="X11" s="24">
        <v>0.59</v>
      </c>
      <c r="Y11" s="24">
        <v>0.59</v>
      </c>
      <c r="Z11" s="24">
        <v>0.6</v>
      </c>
      <c r="AA11" s="24">
        <v>0.59</v>
      </c>
      <c r="AB11" s="24">
        <v>0.59</v>
      </c>
      <c r="AC11" s="24">
        <v>0.59</v>
      </c>
      <c r="AD11" s="24">
        <v>0.59</v>
      </c>
      <c r="AE11" s="24">
        <v>0.59</v>
      </c>
      <c r="AF11" s="24">
        <v>0.59</v>
      </c>
      <c r="AG11" s="24">
        <v>0.59</v>
      </c>
      <c r="AH11" s="24">
        <v>0.59</v>
      </c>
      <c r="AI11" s="24">
        <v>0.57999999999999996</v>
      </c>
      <c r="AJ11" s="86">
        <v>0.6</v>
      </c>
      <c r="AK11" s="75">
        <v>0.57999999999999996</v>
      </c>
      <c r="AL11" s="12">
        <f t="shared" si="0"/>
        <v>-3.3333333333333326E-2</v>
      </c>
      <c r="AM11" s="12">
        <f t="shared" si="1"/>
        <v>-1.6949152542372947E-2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7"/>
  <sheetViews>
    <sheetView workbookViewId="0">
      <selection activeCell="C16" sqref="C16"/>
    </sheetView>
  </sheetViews>
  <sheetFormatPr defaultColWidth="10.54296875" defaultRowHeight="15" x14ac:dyDescent="0.25"/>
  <cols>
    <col min="1" max="1" width="32.54296875" customWidth="1"/>
    <col min="2" max="2" width="26" style="17" customWidth="1"/>
    <col min="3" max="3" width="27.81640625" style="3" customWidth="1"/>
  </cols>
  <sheetData>
    <row r="1" spans="1:3" s="18" customFormat="1" ht="15.6" x14ac:dyDescent="0.3">
      <c r="A1" s="20" t="s">
        <v>204</v>
      </c>
      <c r="B1" s="19" t="s">
        <v>118</v>
      </c>
      <c r="C1" s="5" t="s">
        <v>119</v>
      </c>
    </row>
    <row r="2" spans="1:3" x14ac:dyDescent="0.25">
      <c r="A2" t="s">
        <v>0</v>
      </c>
      <c r="B2" s="17">
        <v>2670610</v>
      </c>
      <c r="C2" s="3">
        <f t="shared" ref="C2:C7" si="0">B2/B$7</f>
        <v>0.37099173863697926</v>
      </c>
    </row>
    <row r="3" spans="1:3" x14ac:dyDescent="0.25">
      <c r="A3" t="s">
        <v>1</v>
      </c>
      <c r="B3" s="17">
        <v>1120000</v>
      </c>
      <c r="C3" s="3">
        <f t="shared" si="0"/>
        <v>0.15558645675460542</v>
      </c>
    </row>
    <row r="4" spans="1:3" x14ac:dyDescent="0.25">
      <c r="A4" t="s">
        <v>3</v>
      </c>
      <c r="B4" s="17">
        <v>1365049</v>
      </c>
      <c r="C4" s="3">
        <f t="shared" si="0"/>
        <v>0.18962780107715838</v>
      </c>
    </row>
    <row r="5" spans="1:3" x14ac:dyDescent="0.25">
      <c r="A5" t="s">
        <v>189</v>
      </c>
      <c r="B5" s="17">
        <v>362334</v>
      </c>
      <c r="C5" s="3">
        <f t="shared" si="0"/>
        <v>5.0334163590824287E-2</v>
      </c>
    </row>
    <row r="6" spans="1:3" x14ac:dyDescent="0.25">
      <c r="A6" t="s">
        <v>2</v>
      </c>
      <c r="B6" s="17">
        <v>1680577</v>
      </c>
      <c r="C6" s="3">
        <f t="shared" si="0"/>
        <v>0.23345983994043262</v>
      </c>
    </row>
    <row r="7" spans="1:3" s="18" customFormat="1" ht="15.6" x14ac:dyDescent="0.3">
      <c r="A7" s="18" t="s">
        <v>117</v>
      </c>
      <c r="B7" s="19">
        <v>7198570</v>
      </c>
      <c r="C7" s="5">
        <f t="shared" si="0"/>
        <v>1</v>
      </c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3186A1D7BCF4342B5772FD2991616E8" ma:contentTypeVersion="11" ma:contentTypeDescription="Utwórz nowy dokument." ma:contentTypeScope="" ma:versionID="c6d25c1e6617d444609e78e191900503">
  <xsd:schema xmlns:xsd="http://www.w3.org/2001/XMLSchema" xmlns:xs="http://www.w3.org/2001/XMLSchema" xmlns:p="http://schemas.microsoft.com/office/2006/metadata/properties" xmlns:ns2="03c3b9bc-2a33-4fc8-b754-120e45f1b8e0" xmlns:ns3="2b2bdf2d-70e4-4018-ba09-be5aba09b919" targetNamespace="http://schemas.microsoft.com/office/2006/metadata/properties" ma:root="true" ma:fieldsID="fdd2fda8d8f0d19c12466a1cc4c9f493" ns2:_="" ns3:_="">
    <xsd:import namespace="03c3b9bc-2a33-4fc8-b754-120e45f1b8e0"/>
    <xsd:import namespace="2b2bdf2d-70e4-4018-ba09-be5aba09b9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3b9bc-2a33-4fc8-b754-120e45f1b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23a408af-13f4-4f33-b3a0-241d187a92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bdf2d-70e4-4018-ba09-be5aba09b91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150aabb-0199-4881-841d-4d10402e380b}" ma:internalName="TaxCatchAll" ma:showField="CatchAllData" ma:web="2b2bdf2d-70e4-4018-ba09-be5aba09b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B39B68-09F0-476A-A4C1-4D7FC6B7FE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c3b9bc-2a33-4fc8-b754-120e45f1b8e0"/>
    <ds:schemaRef ds:uri="2b2bdf2d-70e4-4018-ba09-be5aba09b9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86642F-D776-4E9A-9581-E76C69DAD9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Informacje podstawowe</vt:lpstr>
      <vt:lpstr>R_wyników_Q</vt:lpstr>
      <vt:lpstr>R_wyników_FY</vt:lpstr>
      <vt:lpstr>Bilans</vt:lpstr>
      <vt:lpstr>Cashflow_Q</vt:lpstr>
      <vt:lpstr>Cashflow_FY</vt:lpstr>
      <vt:lpstr>Inwestycje</vt:lpstr>
      <vt:lpstr>HR</vt:lpstr>
      <vt:lpstr>Akcjonariat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LUG</dc:title>
  <dc:subject>Skonsolidowane wyniki finansowe LUG S.A.</dc:subject>
  <dc:creator>Marta Dobrołowicz</dc:creator>
  <cp:keywords/>
  <dc:description/>
  <cp:lastModifiedBy>Angelika Biały</cp:lastModifiedBy>
  <cp:lastPrinted>2022-02-04T15:46:06Z</cp:lastPrinted>
  <dcterms:created xsi:type="dcterms:W3CDTF">2017-05-04T17:59:23Z</dcterms:created>
  <dcterms:modified xsi:type="dcterms:W3CDTF">2023-02-15T10:15:56Z</dcterms:modified>
  <cp:category/>
</cp:coreProperties>
</file>